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drawings/drawing3.xml" ContentType="application/vnd.openxmlformats-officedocument.drawing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4.xml" ContentType="application/vnd.openxmlformats-officedocument.drawing+xml"/>
  <Override PartName="/xl/ctrlProps/ctrlProp33.xml" ContentType="application/vnd.ms-excel.controlproperties+xml"/>
  <Override PartName="/xl/drawings/drawing5.xml" ContentType="application/vnd.openxmlformats-officedocument.drawing+xml"/>
  <Override PartName="/xl/ctrlProps/ctrlProp34.xml" ContentType="application/vnd.ms-excel.controlproperties+xml"/>
  <Override PartName="/xl/ctrlProps/ctrlProp3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bookViews>
    <workbookView xWindow="0" yWindow="0" windowWidth="19200" windowHeight="7350"/>
  </bookViews>
  <sheets>
    <sheet name="Summary" sheetId="18" r:id="rId1"/>
    <sheet name="Financial Model" sheetId="2" r:id="rId2"/>
    <sheet name="Structuring Assumptions" sheetId="14" r:id="rId3"/>
    <sheet name="Acquisition Model" sheetId="17" r:id="rId4"/>
    <sheet name="Graph Data" sheetId="11" r:id="rId5"/>
  </sheets>
  <calcPr calcId="152511" calcMode="autoNoTable" calcOnSave="0"/>
</workbook>
</file>

<file path=xl/calcChain.xml><?xml version="1.0" encoding="utf-8"?>
<calcChain xmlns="http://schemas.openxmlformats.org/spreadsheetml/2006/main">
  <c r="E25" i="14" l="1"/>
  <c r="G4" i="18"/>
  <c r="G5" i="18"/>
  <c r="F5" i="18"/>
  <c r="G219" i="2"/>
  <c r="G147" i="2"/>
  <c r="G3" i="18" s="1"/>
  <c r="G140" i="2"/>
  <c r="G2" i="18" s="1"/>
  <c r="F4" i="18"/>
  <c r="F3" i="18"/>
  <c r="F2" i="18"/>
  <c r="E13" i="18"/>
  <c r="E11" i="18"/>
  <c r="E8" i="18"/>
  <c r="E9" i="18"/>
  <c r="E86" i="17"/>
  <c r="E65" i="17"/>
  <c r="E61" i="17"/>
  <c r="E55" i="17" l="1"/>
  <c r="G8" i="17"/>
  <c r="H8" i="17" s="1"/>
  <c r="E4" i="17"/>
  <c r="G2" i="17"/>
  <c r="H2" i="17" s="1"/>
  <c r="I2" i="17" s="1"/>
  <c r="J2" i="17" s="1"/>
  <c r="K2" i="17" s="1"/>
  <c r="L2" i="17" s="1"/>
  <c r="M2" i="17" s="1"/>
  <c r="N2" i="17" s="1"/>
  <c r="O2" i="17" s="1"/>
  <c r="K79" i="14"/>
  <c r="K77" i="14"/>
  <c r="K68" i="14"/>
  <c r="K69" i="14"/>
  <c r="K70" i="14"/>
  <c r="K73" i="14"/>
  <c r="K67" i="14"/>
  <c r="G63" i="14"/>
  <c r="H63" i="14"/>
  <c r="I63" i="14"/>
  <c r="J63" i="14"/>
  <c r="K63" i="14"/>
  <c r="F63" i="14"/>
  <c r="D63" i="14"/>
  <c r="F56" i="14"/>
  <c r="G56" i="14" s="1"/>
  <c r="H56" i="14" s="1"/>
  <c r="I56" i="14" s="1"/>
  <c r="J56" i="14" s="1"/>
  <c r="K56" i="14" s="1"/>
  <c r="E4" i="11"/>
  <c r="D6" i="11"/>
  <c r="D7" i="11" s="1"/>
  <c r="D8" i="11" s="1"/>
  <c r="D9" i="11" s="1"/>
  <c r="D10" i="11" s="1"/>
  <c r="D11" i="11" s="1"/>
  <c r="D12" i="11" s="1"/>
  <c r="D13" i="11" s="1"/>
  <c r="D14" i="11" s="1"/>
  <c r="D15" i="11" s="1"/>
  <c r="D16" i="11" s="1"/>
  <c r="D17" i="11" s="1"/>
  <c r="D18" i="11" s="1"/>
  <c r="D19" i="11" s="1"/>
  <c r="D20" i="11" s="1"/>
  <c r="D21" i="11" s="1"/>
  <c r="D22" i="11" s="1"/>
  <c r="D23" i="11" s="1"/>
  <c r="D24" i="11" s="1"/>
  <c r="D25" i="11" s="1"/>
  <c r="D26" i="11" s="1"/>
  <c r="D27" i="11" s="1"/>
  <c r="D28" i="11" s="1"/>
  <c r="D29" i="11" s="1"/>
  <c r="D30" i="11" s="1"/>
  <c r="D31" i="11" s="1"/>
  <c r="D32" i="11" s="1"/>
  <c r="D33" i="11" s="1"/>
  <c r="D34" i="11" s="1"/>
  <c r="D35" i="11" s="1"/>
  <c r="D36" i="11" s="1"/>
  <c r="D37" i="11" s="1"/>
  <c r="D38" i="11" s="1"/>
  <c r="D39" i="11" s="1"/>
  <c r="D40" i="11" s="1"/>
  <c r="D41" i="11" s="1"/>
  <c r="D42" i="11" s="1"/>
  <c r="D43" i="11" s="1"/>
  <c r="D44" i="11" s="1"/>
  <c r="D45" i="11" s="1"/>
  <c r="D46" i="11" s="1"/>
  <c r="D47" i="11" s="1"/>
  <c r="D48" i="11" s="1"/>
  <c r="D49" i="11" s="1"/>
  <c r="D50" i="11" s="1"/>
  <c r="D51" i="11" s="1"/>
  <c r="D52" i="11" s="1"/>
  <c r="D53" i="11" s="1"/>
  <c r="D54" i="11" s="1"/>
  <c r="D55" i="11" s="1"/>
  <c r="D56" i="11" s="1"/>
  <c r="D57" i="11" s="1"/>
  <c r="D58" i="11" s="1"/>
  <c r="D59" i="11" s="1"/>
  <c r="D60" i="11" s="1"/>
  <c r="D61" i="11" s="1"/>
  <c r="D62" i="11" s="1"/>
  <c r="D63" i="11" s="1"/>
  <c r="D64" i="11" s="1"/>
  <c r="D65" i="11" s="1"/>
  <c r="D66" i="11" s="1"/>
  <c r="D67" i="11" s="1"/>
  <c r="D68" i="11" s="1"/>
  <c r="D5" i="11"/>
  <c r="E237" i="2"/>
  <c r="L91" i="2"/>
  <c r="K91" i="2"/>
  <c r="J132" i="2"/>
  <c r="K132" i="2"/>
  <c r="L132" i="2"/>
  <c r="I132" i="2"/>
  <c r="K378" i="2"/>
  <c r="L378" i="2"/>
  <c r="M378" i="2"/>
  <c r="N378" i="2"/>
  <c r="O378" i="2"/>
  <c r="P378" i="2"/>
  <c r="Q378" i="2"/>
  <c r="R378" i="2"/>
  <c r="S378" i="2"/>
  <c r="T378" i="2"/>
  <c r="J377" i="2"/>
  <c r="K377" i="2"/>
  <c r="L377" i="2"/>
  <c r="M377" i="2"/>
  <c r="N377" i="2"/>
  <c r="O377" i="2"/>
  <c r="P377" i="2"/>
  <c r="Q377" i="2"/>
  <c r="R377" i="2"/>
  <c r="S377" i="2"/>
  <c r="T377" i="2"/>
  <c r="I377" i="2"/>
  <c r="I360" i="2"/>
  <c r="I348" i="2"/>
  <c r="I347" i="2"/>
  <c r="J338" i="2"/>
  <c r="J351" i="2" s="1"/>
  <c r="K338" i="2"/>
  <c r="K351" i="2" s="1"/>
  <c r="L338" i="2"/>
  <c r="L351" i="2" s="1"/>
  <c r="M338" i="2"/>
  <c r="M351" i="2" s="1"/>
  <c r="N338" i="2"/>
  <c r="N351" i="2" s="1"/>
  <c r="O338" i="2"/>
  <c r="O351" i="2" s="1"/>
  <c r="P338" i="2"/>
  <c r="P351" i="2" s="1"/>
  <c r="Q338" i="2"/>
  <c r="Q351" i="2" s="1"/>
  <c r="R338" i="2"/>
  <c r="R351" i="2" s="1"/>
  <c r="S338" i="2"/>
  <c r="S351" i="2" s="1"/>
  <c r="T338" i="2"/>
  <c r="T351" i="2" s="1"/>
  <c r="J337" i="2"/>
  <c r="J350" i="2" s="1"/>
  <c r="K337" i="2"/>
  <c r="K350" i="2" s="1"/>
  <c r="L337" i="2"/>
  <c r="L350" i="2" s="1"/>
  <c r="M337" i="2"/>
  <c r="M350" i="2" s="1"/>
  <c r="N337" i="2"/>
  <c r="N350" i="2" s="1"/>
  <c r="O337" i="2"/>
  <c r="O350" i="2" s="1"/>
  <c r="P337" i="2"/>
  <c r="P350" i="2" s="1"/>
  <c r="Q337" i="2"/>
  <c r="Q350" i="2" s="1"/>
  <c r="R337" i="2"/>
  <c r="R350" i="2" s="1"/>
  <c r="S337" i="2"/>
  <c r="S350" i="2" s="1"/>
  <c r="T337" i="2"/>
  <c r="T350" i="2" s="1"/>
  <c r="I338" i="2"/>
  <c r="I351" i="2" s="1"/>
  <c r="I337" i="2"/>
  <c r="I350" i="2" s="1"/>
  <c r="I4" i="17" l="1"/>
  <c r="M4" i="17"/>
  <c r="J4" i="17"/>
  <c r="N4" i="17"/>
  <c r="K4" i="17"/>
  <c r="O4" i="17"/>
  <c r="L4" i="17"/>
  <c r="H4" i="17"/>
  <c r="O41" i="17"/>
  <c r="N41" i="17"/>
  <c r="J41" i="17"/>
  <c r="E5" i="17"/>
  <c r="M41" i="17"/>
  <c r="I41" i="17"/>
  <c r="K41" i="17"/>
  <c r="H41" i="17"/>
  <c r="L41" i="17"/>
  <c r="E238" i="2"/>
  <c r="E5" i="11"/>
  <c r="F4" i="11"/>
  <c r="L5" i="17" l="1"/>
  <c r="H5" i="17"/>
  <c r="K5" i="17"/>
  <c r="O5" i="17"/>
  <c r="I5" i="17"/>
  <c r="M5" i="17"/>
  <c r="J5" i="17"/>
  <c r="N5" i="17"/>
  <c r="E239" i="2"/>
  <c r="F5" i="11"/>
  <c r="E240" i="2" l="1"/>
  <c r="E6" i="11"/>
  <c r="F6" i="11" l="1"/>
  <c r="E241" i="2"/>
  <c r="E242" i="2" l="1"/>
  <c r="E7" i="11"/>
  <c r="F7" i="11" l="1"/>
  <c r="E243" i="2"/>
  <c r="E244" i="2" l="1"/>
  <c r="E245" i="2" l="1"/>
  <c r="E246" i="2" l="1"/>
  <c r="E247" i="2" s="1"/>
  <c r="E248" i="2" s="1"/>
  <c r="E249" i="2" s="1"/>
  <c r="E250" i="2" s="1"/>
  <c r="E251" i="2" s="1"/>
  <c r="E252" i="2" s="1"/>
  <c r="E253" i="2" s="1"/>
  <c r="E254" i="2" s="1"/>
  <c r="E255" i="2" s="1"/>
  <c r="E256" i="2" s="1"/>
  <c r="E257" i="2" s="1"/>
  <c r="E258" i="2" s="1"/>
  <c r="E259" i="2" s="1"/>
  <c r="E260" i="2" s="1"/>
  <c r="E261" i="2" s="1"/>
  <c r="E262" i="2" s="1"/>
  <c r="E263" i="2" s="1"/>
  <c r="E264" i="2" s="1"/>
  <c r="E265" i="2" s="1"/>
  <c r="E266" i="2" s="1"/>
  <c r="E267" i="2" s="1"/>
  <c r="E268" i="2" s="1"/>
  <c r="E269" i="2" s="1"/>
  <c r="E270" i="2" s="1"/>
  <c r="E271" i="2" s="1"/>
  <c r="E272" i="2" s="1"/>
  <c r="E273" i="2" s="1"/>
  <c r="E274" i="2" s="1"/>
  <c r="E275" i="2" s="1"/>
  <c r="E276" i="2" s="1"/>
  <c r="E277" i="2" s="1"/>
  <c r="E278" i="2" s="1"/>
  <c r="E279" i="2" s="1"/>
  <c r="E280" i="2" s="1"/>
  <c r="E281" i="2" s="1"/>
  <c r="E282" i="2" s="1"/>
  <c r="E283" i="2" s="1"/>
  <c r="E284" i="2" s="1"/>
  <c r="E285" i="2" s="1"/>
  <c r="E286" i="2" s="1"/>
  <c r="E287" i="2" s="1"/>
  <c r="E288" i="2" s="1"/>
  <c r="E289" i="2" s="1"/>
  <c r="E290" i="2" s="1"/>
  <c r="E291" i="2" s="1"/>
  <c r="E292" i="2" s="1"/>
  <c r="E293" i="2" s="1"/>
  <c r="E294" i="2" s="1"/>
  <c r="E295" i="2" s="1"/>
  <c r="E296" i="2" s="1"/>
  <c r="E297" i="2" s="1"/>
  <c r="E298" i="2" s="1"/>
  <c r="E299" i="2" s="1"/>
  <c r="E300" i="2" s="1"/>
  <c r="E301" i="2" s="1"/>
  <c r="E302" i="2" s="1"/>
  <c r="E303" i="2" s="1"/>
  <c r="E304" i="2" s="1"/>
  <c r="E305" i="2" s="1"/>
  <c r="E306" i="2" s="1"/>
  <c r="E307" i="2" s="1"/>
  <c r="E308" i="2" s="1"/>
  <c r="E309" i="2" s="1"/>
  <c r="E310" i="2" s="1"/>
  <c r="E311" i="2" s="1"/>
  <c r="E312" i="2" s="1"/>
  <c r="E313" i="2" s="1"/>
  <c r="E314" i="2" s="1"/>
  <c r="E315" i="2" s="1"/>
  <c r="E316" i="2" s="1"/>
  <c r="E317" i="2" s="1"/>
  <c r="E318" i="2" s="1"/>
  <c r="E319" i="2" s="1"/>
  <c r="E320" i="2" s="1"/>
  <c r="E321" i="2" s="1"/>
  <c r="E322" i="2" s="1"/>
  <c r="E323" i="2" s="1"/>
  <c r="E324" i="2" s="1"/>
  <c r="E325" i="2" s="1"/>
  <c r="E326" i="2" s="1"/>
  <c r="E327" i="2" s="1"/>
  <c r="E49" i="11" s="1"/>
  <c r="E38" i="11"/>
  <c r="E18" i="11"/>
  <c r="E17" i="11"/>
  <c r="E66" i="11"/>
  <c r="E23" i="11"/>
  <c r="E14" i="11"/>
  <c r="E20" i="11"/>
  <c r="E50" i="11"/>
  <c r="E15" i="11"/>
  <c r="E13" i="11"/>
  <c r="E16" i="11"/>
  <c r="E28" i="11"/>
  <c r="E9" i="11"/>
  <c r="E21" i="11"/>
  <c r="E31" i="11"/>
  <c r="E43" i="11"/>
  <c r="E30" i="11"/>
  <c r="E10" i="11"/>
  <c r="E12" i="11"/>
  <c r="I306" i="2"/>
  <c r="I305" i="2"/>
  <c r="J285" i="2"/>
  <c r="K285" i="2"/>
  <c r="L285" i="2"/>
  <c r="M285" i="2"/>
  <c r="N285" i="2"/>
  <c r="O285" i="2"/>
  <c r="P285" i="2"/>
  <c r="Q285" i="2"/>
  <c r="R285" i="2"/>
  <c r="S285" i="2"/>
  <c r="T285" i="2"/>
  <c r="I285" i="2"/>
  <c r="I268" i="2"/>
  <c r="I262" i="2"/>
  <c r="I247" i="2"/>
  <c r="I236" i="2"/>
  <c r="I4" i="11" s="1"/>
  <c r="E37" i="11" l="1"/>
  <c r="E60" i="11"/>
  <c r="M60" i="11" s="1"/>
  <c r="E36" i="11"/>
  <c r="F36" i="11" s="1"/>
  <c r="E53" i="11"/>
  <c r="F53" i="11" s="1"/>
  <c r="E32" i="11"/>
  <c r="E48" i="11"/>
  <c r="I48" i="11" s="1"/>
  <c r="E24" i="11"/>
  <c r="F24" i="11" s="1"/>
  <c r="E19" i="11"/>
  <c r="F19" i="11" s="1"/>
  <c r="E41" i="11"/>
  <c r="E68" i="11"/>
  <c r="I68" i="11" s="1"/>
  <c r="E34" i="11"/>
  <c r="F34" i="11" s="1"/>
  <c r="E22" i="11"/>
  <c r="F22" i="11" s="1"/>
  <c r="E57" i="11"/>
  <c r="E56" i="11"/>
  <c r="F56" i="11" s="1"/>
  <c r="E51" i="11"/>
  <c r="F51" i="11" s="1"/>
  <c r="E45" i="11"/>
  <c r="F45" i="11" s="1"/>
  <c r="E54" i="11"/>
  <c r="E55" i="11"/>
  <c r="E26" i="11"/>
  <c r="E25" i="11"/>
  <c r="F25" i="11" s="1"/>
  <c r="E29" i="11"/>
  <c r="E33" i="11"/>
  <c r="F49" i="11"/>
  <c r="I10" i="11"/>
  <c r="F10" i="11"/>
  <c r="F21" i="11"/>
  <c r="F28" i="11"/>
  <c r="F26" i="11"/>
  <c r="F48" i="11"/>
  <c r="F18" i="11"/>
  <c r="I51" i="11"/>
  <c r="F30" i="11"/>
  <c r="K37" i="11"/>
  <c r="O37" i="11"/>
  <c r="S37" i="11"/>
  <c r="L37" i="11"/>
  <c r="P37" i="11"/>
  <c r="T37" i="11"/>
  <c r="I37" i="11"/>
  <c r="M37" i="11"/>
  <c r="Q37" i="11"/>
  <c r="R37" i="11"/>
  <c r="F37" i="11"/>
  <c r="J37" i="11"/>
  <c r="N37" i="11"/>
  <c r="I60" i="11"/>
  <c r="Q60" i="11"/>
  <c r="J60" i="11"/>
  <c r="N60" i="11"/>
  <c r="K60" i="11"/>
  <c r="O60" i="11"/>
  <c r="S60" i="11"/>
  <c r="L60" i="11"/>
  <c r="F60" i="11"/>
  <c r="P60" i="11"/>
  <c r="F16" i="11"/>
  <c r="I20" i="11"/>
  <c r="F20" i="11"/>
  <c r="F14" i="11"/>
  <c r="I57" i="11"/>
  <c r="F57" i="11"/>
  <c r="I24" i="11"/>
  <c r="F38" i="11"/>
  <c r="F33" i="11"/>
  <c r="E64" i="11"/>
  <c r="F31" i="11"/>
  <c r="F41" i="11"/>
  <c r="F13" i="11"/>
  <c r="E52" i="11"/>
  <c r="E61" i="11"/>
  <c r="E63" i="11"/>
  <c r="E59" i="11"/>
  <c r="E40" i="11"/>
  <c r="E44" i="11"/>
  <c r="F43" i="11"/>
  <c r="I50" i="11"/>
  <c r="F50" i="11"/>
  <c r="F32" i="11"/>
  <c r="F29" i="11"/>
  <c r="F12" i="11"/>
  <c r="F54" i="11"/>
  <c r="F55" i="11"/>
  <c r="F9" i="11"/>
  <c r="F15" i="11"/>
  <c r="M68" i="11"/>
  <c r="Q68" i="11"/>
  <c r="J68" i="11"/>
  <c r="R68" i="11"/>
  <c r="K68" i="11"/>
  <c r="O68" i="11"/>
  <c r="F68" i="11"/>
  <c r="L68" i="11"/>
  <c r="P68" i="11"/>
  <c r="F23" i="11"/>
  <c r="I66" i="11"/>
  <c r="M66" i="11"/>
  <c r="Q66" i="11"/>
  <c r="J66" i="11"/>
  <c r="N66" i="11"/>
  <c r="R66" i="11"/>
  <c r="K66" i="11"/>
  <c r="O66" i="11"/>
  <c r="S66" i="11"/>
  <c r="P66" i="11"/>
  <c r="T66" i="11"/>
  <c r="F66" i="11"/>
  <c r="L66" i="11"/>
  <c r="F17" i="11"/>
  <c r="E67" i="11"/>
  <c r="E27" i="11"/>
  <c r="E42" i="11"/>
  <c r="E8" i="11"/>
  <c r="E47" i="11"/>
  <c r="E62" i="11"/>
  <c r="E46" i="11"/>
  <c r="E39" i="11"/>
  <c r="E65" i="11"/>
  <c r="E35" i="11"/>
  <c r="E11" i="11"/>
  <c r="E58" i="11"/>
  <c r="J2" i="2"/>
  <c r="J385" i="2" s="1"/>
  <c r="K2" i="2"/>
  <c r="K385" i="2" s="1"/>
  <c r="L2" i="2"/>
  <c r="L385" i="2" s="1"/>
  <c r="I2" i="2"/>
  <c r="I385" i="2" s="1"/>
  <c r="J135" i="2"/>
  <c r="K135" i="2"/>
  <c r="L135" i="2"/>
  <c r="I135" i="2"/>
  <c r="T68" i="11" l="1"/>
  <c r="S68" i="11"/>
  <c r="N68" i="11"/>
  <c r="T60" i="11"/>
  <c r="R60" i="11"/>
  <c r="I46" i="11"/>
  <c r="F46" i="11"/>
  <c r="K35" i="11"/>
  <c r="O35" i="11"/>
  <c r="S35" i="11"/>
  <c r="L35" i="11"/>
  <c r="P35" i="11"/>
  <c r="T35" i="11"/>
  <c r="I35" i="11"/>
  <c r="M35" i="11"/>
  <c r="Q35" i="11"/>
  <c r="J35" i="11"/>
  <c r="N35" i="11"/>
  <c r="R35" i="11"/>
  <c r="F35" i="11"/>
  <c r="F40" i="11"/>
  <c r="I61" i="11"/>
  <c r="M61" i="11"/>
  <c r="Q61" i="11"/>
  <c r="J61" i="11"/>
  <c r="N61" i="11"/>
  <c r="R61" i="11"/>
  <c r="K61" i="11"/>
  <c r="O61" i="11"/>
  <c r="S61" i="11"/>
  <c r="L61" i="11"/>
  <c r="F61" i="11"/>
  <c r="P61" i="11"/>
  <c r="T61" i="11"/>
  <c r="F42" i="11"/>
  <c r="I63" i="11"/>
  <c r="M63" i="11"/>
  <c r="Q63" i="11"/>
  <c r="J63" i="11"/>
  <c r="N63" i="11"/>
  <c r="R63" i="11"/>
  <c r="K63" i="11"/>
  <c r="O63" i="11"/>
  <c r="S63" i="11"/>
  <c r="T63" i="11"/>
  <c r="P63" i="11"/>
  <c r="L63" i="11"/>
  <c r="F63" i="11"/>
  <c r="M2" i="2"/>
  <c r="L3" i="11"/>
  <c r="L73" i="11" s="1"/>
  <c r="L76" i="11" s="1"/>
  <c r="F27" i="11"/>
  <c r="I65" i="11"/>
  <c r="M65" i="11"/>
  <c r="Q65" i="11"/>
  <c r="J65" i="11"/>
  <c r="N65" i="11"/>
  <c r="R65" i="11"/>
  <c r="K65" i="11"/>
  <c r="O65" i="11"/>
  <c r="S65" i="11"/>
  <c r="L65" i="11"/>
  <c r="F65" i="11"/>
  <c r="P65" i="11"/>
  <c r="T65" i="11"/>
  <c r="I67" i="11"/>
  <c r="M67" i="11"/>
  <c r="Q67" i="11"/>
  <c r="J67" i="11"/>
  <c r="N67" i="11"/>
  <c r="R67" i="11"/>
  <c r="K67" i="11"/>
  <c r="O67" i="11"/>
  <c r="S67" i="11"/>
  <c r="T67" i="11"/>
  <c r="P67" i="11"/>
  <c r="L67" i="11"/>
  <c r="F67" i="11"/>
  <c r="F59" i="11"/>
  <c r="I52" i="11"/>
  <c r="F52" i="11"/>
  <c r="I64" i="11"/>
  <c r="M64" i="11"/>
  <c r="Q64" i="11"/>
  <c r="J64" i="11"/>
  <c r="N64" i="11"/>
  <c r="R64" i="11"/>
  <c r="K64" i="11"/>
  <c r="O64" i="11"/>
  <c r="S64" i="11"/>
  <c r="L64" i="11"/>
  <c r="P64" i="11"/>
  <c r="T64" i="11"/>
  <c r="F64" i="11"/>
  <c r="I3" i="2"/>
  <c r="I322" i="2" s="1"/>
  <c r="I59" i="11" s="1"/>
  <c r="I3" i="11"/>
  <c r="I73" i="11" s="1"/>
  <c r="I76" i="11" s="1"/>
  <c r="F11" i="11"/>
  <c r="F74" i="11" s="1"/>
  <c r="F44" i="11"/>
  <c r="I62" i="11"/>
  <c r="M62" i="11"/>
  <c r="Q62" i="11"/>
  <c r="J62" i="11"/>
  <c r="N62" i="11"/>
  <c r="R62" i="11"/>
  <c r="K62" i="11"/>
  <c r="O62" i="11"/>
  <c r="S62" i="11"/>
  <c r="P62" i="11"/>
  <c r="T62" i="11"/>
  <c r="F62" i="11"/>
  <c r="L62" i="11"/>
  <c r="K3" i="2"/>
  <c r="K363" i="2" s="1"/>
  <c r="K3" i="11"/>
  <c r="K73" i="11" s="1"/>
  <c r="K76" i="11" s="1"/>
  <c r="I47" i="11"/>
  <c r="F47" i="11"/>
  <c r="J3" i="2"/>
  <c r="J312" i="2" s="1"/>
  <c r="J53" i="11" s="1"/>
  <c r="J3" i="11"/>
  <c r="J73" i="11" s="1"/>
  <c r="J76" i="11" s="1"/>
  <c r="F58" i="11"/>
  <c r="F39" i="11"/>
  <c r="F8" i="11"/>
  <c r="I370" i="2"/>
  <c r="I312" i="2"/>
  <c r="I53" i="11" s="1"/>
  <c r="I363" i="2"/>
  <c r="I221" i="2"/>
  <c r="I316" i="2"/>
  <c r="I54" i="11" s="1"/>
  <c r="I231" i="2"/>
  <c r="J231" i="2"/>
  <c r="J322" i="2"/>
  <c r="K320" i="2" s="1"/>
  <c r="K57" i="11" s="1"/>
  <c r="I227" i="2"/>
  <c r="I224" i="2"/>
  <c r="J216" i="2"/>
  <c r="J227" i="2"/>
  <c r="J211" i="2"/>
  <c r="J207" i="2"/>
  <c r="J209" i="2"/>
  <c r="J210" i="2"/>
  <c r="I211" i="2"/>
  <c r="I207" i="2"/>
  <c r="I206" i="2"/>
  <c r="I210" i="2"/>
  <c r="I209" i="2"/>
  <c r="I212" i="2"/>
  <c r="L3" i="2"/>
  <c r="I174" i="2"/>
  <c r="I194" i="2"/>
  <c r="I186" i="2"/>
  <c r="I166" i="2"/>
  <c r="I190" i="2"/>
  <c r="I150" i="2"/>
  <c r="I248" i="2" s="1"/>
  <c r="I11" i="11" s="1"/>
  <c r="I202" i="2"/>
  <c r="I203" i="2" s="1"/>
  <c r="I330" i="2" s="1"/>
  <c r="I198" i="2"/>
  <c r="I307" i="2" s="1"/>
  <c r="I182" i="2"/>
  <c r="I154" i="2"/>
  <c r="I146" i="2"/>
  <c r="I142" i="2"/>
  <c r="I139" i="2"/>
  <c r="I237" i="2" s="1"/>
  <c r="I5" i="11" s="1"/>
  <c r="M3" i="2"/>
  <c r="M72" i="11" s="1"/>
  <c r="M77" i="11" s="1"/>
  <c r="N2" i="2"/>
  <c r="K186" i="2"/>
  <c r="K190" i="2"/>
  <c r="J166" i="2"/>
  <c r="J150" i="2"/>
  <c r="J154" i="2"/>
  <c r="J202" i="2"/>
  <c r="J203" i="2" s="1"/>
  <c r="J330" i="2" s="1"/>
  <c r="J158" i="2"/>
  <c r="J159" i="2" s="1"/>
  <c r="J253" i="2" s="1"/>
  <c r="J142" i="2"/>
  <c r="J178" i="2"/>
  <c r="J162" i="2"/>
  <c r="J194" i="2" l="1"/>
  <c r="J170" i="2"/>
  <c r="K182" i="2"/>
  <c r="J208" i="2"/>
  <c r="J224" i="2"/>
  <c r="J316" i="2"/>
  <c r="J54" i="11" s="1"/>
  <c r="J174" i="2"/>
  <c r="J175" i="2" s="1"/>
  <c r="J265" i="2" s="1"/>
  <c r="J182" i="2"/>
  <c r="J183" i="2" s="1"/>
  <c r="J271" i="2" s="1"/>
  <c r="K209" i="2"/>
  <c r="K230" i="2"/>
  <c r="J230" i="2"/>
  <c r="J139" i="2"/>
  <c r="J237" i="2" s="1"/>
  <c r="J5" i="11" s="1"/>
  <c r="J146" i="2"/>
  <c r="J190" i="2"/>
  <c r="J186" i="2"/>
  <c r="J187" i="2" s="1"/>
  <c r="J274" i="2" s="1"/>
  <c r="J198" i="2"/>
  <c r="J307" i="2" s="1"/>
  <c r="J49" i="11" s="1"/>
  <c r="K194" i="2"/>
  <c r="I178" i="2"/>
  <c r="I269" i="2" s="1"/>
  <c r="I25" i="11" s="1"/>
  <c r="I170" i="2"/>
  <c r="I263" i="2" s="1"/>
  <c r="I21" i="11" s="1"/>
  <c r="I158" i="2"/>
  <c r="I159" i="2" s="1"/>
  <c r="I253" i="2" s="1"/>
  <c r="I14" i="11" s="1"/>
  <c r="I162" i="2"/>
  <c r="I208" i="2"/>
  <c r="I213" i="2" s="1"/>
  <c r="I339" i="2" s="1"/>
  <c r="I352" i="2" s="1"/>
  <c r="J206" i="2"/>
  <c r="J213" i="2" s="1"/>
  <c r="J339" i="2" s="1"/>
  <c r="J352" i="2" s="1"/>
  <c r="J212" i="2"/>
  <c r="K211" i="2"/>
  <c r="K227" i="2"/>
  <c r="I230" i="2"/>
  <c r="L72" i="11"/>
  <c r="L78" i="11" s="1"/>
  <c r="J72" i="11"/>
  <c r="J78" i="11" s="1"/>
  <c r="J254" i="2"/>
  <c r="J15" i="11" s="1"/>
  <c r="K322" i="2"/>
  <c r="K59" i="11" s="1"/>
  <c r="K72" i="11"/>
  <c r="K78" i="11" s="1"/>
  <c r="M3" i="11"/>
  <c r="M73" i="11" s="1"/>
  <c r="M76" i="11" s="1"/>
  <c r="M385" i="2"/>
  <c r="N3" i="11"/>
  <c r="N73" i="11" s="1"/>
  <c r="N76" i="11" s="1"/>
  <c r="N385" i="2"/>
  <c r="J221" i="2"/>
  <c r="J363" i="2"/>
  <c r="J379" i="2" s="1"/>
  <c r="I218" i="2"/>
  <c r="I72" i="11"/>
  <c r="I78" i="11" s="1"/>
  <c r="L370" i="2"/>
  <c r="L218" i="2"/>
  <c r="K208" i="2"/>
  <c r="K206" i="2"/>
  <c r="K231" i="2"/>
  <c r="K232" i="2" s="1"/>
  <c r="K316" i="2"/>
  <c r="K221" i="2"/>
  <c r="J370" i="2"/>
  <c r="J218" i="2"/>
  <c r="J59" i="11"/>
  <c r="K142" i="2"/>
  <c r="K146" i="2"/>
  <c r="K191" i="2" s="1"/>
  <c r="K277" i="2" s="1"/>
  <c r="K30" i="11" s="1"/>
  <c r="K198" i="2"/>
  <c r="K217" i="2" s="1"/>
  <c r="K202" i="2"/>
  <c r="K203" i="2" s="1"/>
  <c r="K330" i="2" s="1"/>
  <c r="J14" i="11"/>
  <c r="K158" i="2"/>
  <c r="K159" i="2" s="1"/>
  <c r="K253" i="2" s="1"/>
  <c r="K154" i="2"/>
  <c r="K150" i="2"/>
  <c r="K248" i="2" s="1"/>
  <c r="K11" i="11" s="1"/>
  <c r="K162" i="2"/>
  <c r="K212" i="2"/>
  <c r="K210" i="2"/>
  <c r="K216" i="2"/>
  <c r="K370" i="2"/>
  <c r="K218" i="2"/>
  <c r="K219" i="2" s="1"/>
  <c r="K305" i="2" s="1"/>
  <c r="K139" i="2"/>
  <c r="K237" i="2" s="1"/>
  <c r="K5" i="11" s="1"/>
  <c r="K174" i="2"/>
  <c r="K170" i="2"/>
  <c r="K263" i="2" s="1"/>
  <c r="K21" i="11" s="1"/>
  <c r="K166" i="2"/>
  <c r="K167" i="2" s="1"/>
  <c r="K178" i="2"/>
  <c r="K269" i="2" s="1"/>
  <c r="K25" i="11" s="1"/>
  <c r="I335" i="2"/>
  <c r="I49" i="11"/>
  <c r="K207" i="2"/>
  <c r="K213" i="2" s="1"/>
  <c r="K339" i="2" s="1"/>
  <c r="K352" i="2" s="1"/>
  <c r="K224" i="2"/>
  <c r="K312" i="2"/>
  <c r="K53" i="11" s="1"/>
  <c r="I318" i="2"/>
  <c r="M370" i="2"/>
  <c r="L182" i="2"/>
  <c r="L221" i="2"/>
  <c r="L363" i="2"/>
  <c r="L360" i="2"/>
  <c r="K379" i="2"/>
  <c r="M317" i="2"/>
  <c r="M55" i="11" s="1"/>
  <c r="M221" i="2"/>
  <c r="J309" i="2"/>
  <c r="J50" i="11" s="1"/>
  <c r="I369" i="2"/>
  <c r="I379" i="2"/>
  <c r="J360" i="2"/>
  <c r="K309" i="2"/>
  <c r="K50" i="11" s="1"/>
  <c r="J369" i="2"/>
  <c r="J366" i="2"/>
  <c r="J320" i="2"/>
  <c r="I366" i="2"/>
  <c r="J341" i="2"/>
  <c r="J346" i="2" s="1"/>
  <c r="I341" i="2"/>
  <c r="I346" i="2" s="1"/>
  <c r="L174" i="2"/>
  <c r="L316" i="2"/>
  <c r="L54" i="11" s="1"/>
  <c r="J179" i="2"/>
  <c r="J268" i="2" s="1"/>
  <c r="J24" i="11" s="1"/>
  <c r="I317" i="2"/>
  <c r="I55" i="11" s="1"/>
  <c r="J311" i="2"/>
  <c r="J52" i="11" s="1"/>
  <c r="J232" i="2"/>
  <c r="M230" i="2"/>
  <c r="M231" i="2"/>
  <c r="L194" i="2"/>
  <c r="L230" i="2"/>
  <c r="L322" i="2"/>
  <c r="L59" i="11" s="1"/>
  <c r="L231" i="2"/>
  <c r="L312" i="2"/>
  <c r="L53" i="11" s="1"/>
  <c r="L190" i="2"/>
  <c r="J171" i="2"/>
  <c r="J262" i="2" s="1"/>
  <c r="J20" i="11" s="1"/>
  <c r="L186" i="2"/>
  <c r="L178" i="2"/>
  <c r="L179" i="2" s="1"/>
  <c r="L268" i="2" s="1"/>
  <c r="L24" i="11" s="1"/>
  <c r="L198" i="2"/>
  <c r="L307" i="2" s="1"/>
  <c r="L49" i="11" s="1"/>
  <c r="L146" i="2"/>
  <c r="J155" i="2"/>
  <c r="J250" i="2" s="1"/>
  <c r="J12" i="11" s="1"/>
  <c r="I155" i="2"/>
  <c r="I250" i="2" s="1"/>
  <c r="J167" i="2"/>
  <c r="J263" i="2"/>
  <c r="J21" i="11" s="1"/>
  <c r="K228" i="2"/>
  <c r="K298" i="2" s="1"/>
  <c r="K43" i="11" s="1"/>
  <c r="J269" i="2"/>
  <c r="J25" i="11" s="1"/>
  <c r="J143" i="2"/>
  <c r="J240" i="2" s="1"/>
  <c r="J151" i="2"/>
  <c r="J247" i="2" s="1"/>
  <c r="J10" i="11" s="1"/>
  <c r="I167" i="2"/>
  <c r="I163" i="2"/>
  <c r="I256" i="2" s="1"/>
  <c r="J225" i="2"/>
  <c r="J295" i="2" s="1"/>
  <c r="J41" i="11" s="1"/>
  <c r="J248" i="2"/>
  <c r="J11" i="11" s="1"/>
  <c r="I228" i="2"/>
  <c r="I298" i="2" s="1"/>
  <c r="I43" i="11" s="1"/>
  <c r="J191" i="2"/>
  <c r="J277" i="2" s="1"/>
  <c r="J30" i="11" s="1"/>
  <c r="I143" i="2"/>
  <c r="I240" i="2" s="1"/>
  <c r="I191" i="2"/>
  <c r="I277" i="2" s="1"/>
  <c r="I30" i="11" s="1"/>
  <c r="J228" i="2"/>
  <c r="J298" i="2" s="1"/>
  <c r="J43" i="11" s="1"/>
  <c r="I175" i="2"/>
  <c r="I265" i="2" s="1"/>
  <c r="I225" i="2"/>
  <c r="I295" i="2" s="1"/>
  <c r="I41" i="11" s="1"/>
  <c r="I222" i="2"/>
  <c r="I292" i="2" s="1"/>
  <c r="K151" i="2"/>
  <c r="K247" i="2" s="1"/>
  <c r="K10" i="11" s="1"/>
  <c r="I147" i="2"/>
  <c r="I244" i="2" s="1"/>
  <c r="L227" i="2"/>
  <c r="L224" i="2"/>
  <c r="L216" i="2"/>
  <c r="I187" i="2"/>
  <c r="I274" i="2" s="1"/>
  <c r="F2" i="2"/>
  <c r="L154" i="2"/>
  <c r="L150" i="2"/>
  <c r="F151" i="2" s="1"/>
  <c r="M151" i="2" s="1"/>
  <c r="M247" i="2" s="1"/>
  <c r="M10" i="11" s="1"/>
  <c r="L142" i="2"/>
  <c r="L202" i="2"/>
  <c r="L203" i="2" s="1"/>
  <c r="L170" i="2"/>
  <c r="L171" i="2" s="1"/>
  <c r="L166" i="2"/>
  <c r="L162" i="2"/>
  <c r="L158" i="2"/>
  <c r="L159" i="2" s="1"/>
  <c r="L253" i="2" s="1"/>
  <c r="M224" i="2"/>
  <c r="M216" i="2"/>
  <c r="M227" i="2"/>
  <c r="I195" i="2"/>
  <c r="I280" i="2" s="1"/>
  <c r="K222" i="2"/>
  <c r="K292" i="2" s="1"/>
  <c r="J217" i="2"/>
  <c r="I183" i="2"/>
  <c r="I271" i="2" s="1"/>
  <c r="L139" i="2"/>
  <c r="L209" i="2"/>
  <c r="L206" i="2"/>
  <c r="L210" i="2"/>
  <c r="L211" i="2"/>
  <c r="L207" i="2"/>
  <c r="L212" i="2"/>
  <c r="L208" i="2"/>
  <c r="M186" i="2"/>
  <c r="M170" i="2"/>
  <c r="M154" i="2"/>
  <c r="M190" i="2"/>
  <c r="M174" i="2"/>
  <c r="M158" i="2"/>
  <c r="M202" i="2"/>
  <c r="M194" i="2"/>
  <c r="M178" i="2"/>
  <c r="M162" i="2"/>
  <c r="M142" i="2"/>
  <c r="M198" i="2"/>
  <c r="M217" i="2" s="1"/>
  <c r="M182" i="2"/>
  <c r="M166" i="2"/>
  <c r="M150" i="2"/>
  <c r="M146" i="2"/>
  <c r="M139" i="2"/>
  <c r="O2" i="2"/>
  <c r="N3" i="2"/>
  <c r="N72" i="11" s="1"/>
  <c r="N77" i="11" s="1"/>
  <c r="J199" i="2" l="1"/>
  <c r="J306" i="2" s="1"/>
  <c r="J48" i="11" s="1"/>
  <c r="J140" i="2"/>
  <c r="J236" i="2" s="1"/>
  <c r="J4" i="11" s="1"/>
  <c r="J163" i="2"/>
  <c r="J256" i="2" s="1"/>
  <c r="J16" i="11" s="1"/>
  <c r="J195" i="2"/>
  <c r="J280" i="2" s="1"/>
  <c r="J32" i="11" s="1"/>
  <c r="J222" i="2"/>
  <c r="J292" i="2" s="1"/>
  <c r="K147" i="2"/>
  <c r="K244" i="2" s="1"/>
  <c r="K8" i="11" s="1"/>
  <c r="K225" i="2"/>
  <c r="K295" i="2" s="1"/>
  <c r="K41" i="11" s="1"/>
  <c r="K171" i="2"/>
  <c r="K262" i="2" s="1"/>
  <c r="K20" i="11" s="1"/>
  <c r="K307" i="2"/>
  <c r="K49" i="11" s="1"/>
  <c r="L217" i="2"/>
  <c r="L219" i="2" s="1"/>
  <c r="L305" i="2" s="1"/>
  <c r="J147" i="2"/>
  <c r="J244" i="2" s="1"/>
  <c r="J245" i="2" s="1"/>
  <c r="J9" i="11" s="1"/>
  <c r="J335" i="2"/>
  <c r="J317" i="2"/>
  <c r="J55" i="11" s="1"/>
  <c r="K155" i="2"/>
  <c r="K250" i="2" s="1"/>
  <c r="I254" i="2"/>
  <c r="I15" i="11" s="1"/>
  <c r="K366" i="2"/>
  <c r="K369" i="2"/>
  <c r="K360" i="2"/>
  <c r="L320" i="2"/>
  <c r="L57" i="11" s="1"/>
  <c r="K199" i="2"/>
  <c r="K306" i="2" s="1"/>
  <c r="K48" i="11" s="1"/>
  <c r="K254" i="2"/>
  <c r="K15" i="11" s="1"/>
  <c r="O3" i="11"/>
  <c r="O73" i="11" s="1"/>
  <c r="O76" i="11" s="1"/>
  <c r="O385" i="2"/>
  <c r="L269" i="2"/>
  <c r="L25" i="11" s="1"/>
  <c r="L254" i="2"/>
  <c r="L15" i="11" s="1"/>
  <c r="K318" i="2"/>
  <c r="K54" i="11"/>
  <c r="I272" i="2"/>
  <c r="I27" i="11" s="1"/>
  <c r="I26" i="11"/>
  <c r="J293" i="2"/>
  <c r="J39" i="11"/>
  <c r="I281" i="2"/>
  <c r="I33" i="11" s="1"/>
  <c r="I32" i="11"/>
  <c r="K310" i="2"/>
  <c r="K47" i="11"/>
  <c r="I275" i="2"/>
  <c r="I29" i="11" s="1"/>
  <c r="I28" i="11"/>
  <c r="I245" i="2"/>
  <c r="I9" i="11" s="1"/>
  <c r="I8" i="11"/>
  <c r="I266" i="2"/>
  <c r="I23" i="11" s="1"/>
  <c r="I22" i="11"/>
  <c r="I241" i="2"/>
  <c r="I6" i="11"/>
  <c r="J275" i="2"/>
  <c r="J29" i="11" s="1"/>
  <c r="J28" i="11"/>
  <c r="J257" i="2"/>
  <c r="J17" i="11" s="1"/>
  <c r="J8" i="11"/>
  <c r="K341" i="2"/>
  <c r="K346" i="2" s="1"/>
  <c r="J318" i="2"/>
  <c r="J57" i="11"/>
  <c r="I354" i="2"/>
  <c r="I321" i="2" s="1"/>
  <c r="I58" i="11" s="1"/>
  <c r="I56" i="11"/>
  <c r="K14" i="11"/>
  <c r="J219" i="2"/>
  <c r="J305" i="2" s="1"/>
  <c r="I257" i="2"/>
  <c r="I17" i="11" s="1"/>
  <c r="I16" i="11"/>
  <c r="J241" i="2"/>
  <c r="J6" i="11"/>
  <c r="I251" i="2"/>
  <c r="I13" i="11" s="1"/>
  <c r="I12" i="11"/>
  <c r="J272" i="2"/>
  <c r="J27" i="11" s="1"/>
  <c r="J26" i="11"/>
  <c r="K195" i="2"/>
  <c r="K280" i="2" s="1"/>
  <c r="L14" i="11"/>
  <c r="K140" i="2"/>
  <c r="K236" i="2" s="1"/>
  <c r="K4" i="11" s="1"/>
  <c r="K163" i="2"/>
  <c r="K256" i="2" s="1"/>
  <c r="J266" i="2"/>
  <c r="J23" i="11" s="1"/>
  <c r="J22" i="11"/>
  <c r="K143" i="2"/>
  <c r="K240" i="2" s="1"/>
  <c r="K175" i="2"/>
  <c r="K265" i="2" s="1"/>
  <c r="K317" i="2"/>
  <c r="K55" i="11" s="1"/>
  <c r="J281" i="2"/>
  <c r="J33" i="11" s="1"/>
  <c r="K293" i="2"/>
  <c r="K39" i="11"/>
  <c r="K245" i="2"/>
  <c r="K9" i="11" s="1"/>
  <c r="K251" i="2"/>
  <c r="K13" i="11" s="1"/>
  <c r="K12" i="11"/>
  <c r="K183" i="2"/>
  <c r="K271" i="2" s="1"/>
  <c r="N370" i="2"/>
  <c r="K179" i="2"/>
  <c r="I293" i="2"/>
  <c r="I39" i="11"/>
  <c r="K187" i="2"/>
  <c r="K274" i="2" s="1"/>
  <c r="L309" i="2"/>
  <c r="L50" i="11" s="1"/>
  <c r="M218" i="2"/>
  <c r="N218" i="2" s="1"/>
  <c r="M360" i="2"/>
  <c r="L379" i="2"/>
  <c r="N317" i="2"/>
  <c r="N55" i="11" s="1"/>
  <c r="N221" i="2"/>
  <c r="M309" i="2"/>
  <c r="M50" i="11" s="1"/>
  <c r="L369" i="2"/>
  <c r="M320" i="2"/>
  <c r="M57" i="11" s="1"/>
  <c r="L366" i="2"/>
  <c r="L341" i="2"/>
  <c r="L346" i="2" s="1"/>
  <c r="L199" i="2"/>
  <c r="L306" i="2" s="1"/>
  <c r="L48" i="11" s="1"/>
  <c r="L191" i="2"/>
  <c r="L277" i="2" s="1"/>
  <c r="L30" i="11" s="1"/>
  <c r="L155" i="2"/>
  <c r="L250" i="2" s="1"/>
  <c r="L12" i="11" s="1"/>
  <c r="L311" i="2"/>
  <c r="L52" i="11" s="1"/>
  <c r="L335" i="2"/>
  <c r="F203" i="2"/>
  <c r="L330" i="2"/>
  <c r="L232" i="2"/>
  <c r="M232" i="2"/>
  <c r="N230" i="2"/>
  <c r="N231" i="2"/>
  <c r="L225" i="2"/>
  <c r="L295" i="2" s="1"/>
  <c r="L41" i="11" s="1"/>
  <c r="F208" i="2"/>
  <c r="F210" i="2"/>
  <c r="L228" i="2"/>
  <c r="L298" i="2" s="1"/>
  <c r="L43" i="11" s="1"/>
  <c r="F211" i="2"/>
  <c r="L187" i="2"/>
  <c r="L274" i="2" s="1"/>
  <c r="L28" i="11" s="1"/>
  <c r="K259" i="2"/>
  <c r="I259" i="2"/>
  <c r="J259" i="2"/>
  <c r="F179" i="2"/>
  <c r="M179" i="2" s="1"/>
  <c r="M268" i="2" s="1"/>
  <c r="K268" i="2"/>
  <c r="K24" i="11" s="1"/>
  <c r="F171" i="2"/>
  <c r="M171" i="2" s="1"/>
  <c r="M262" i="2" s="1"/>
  <c r="M20" i="11" s="1"/>
  <c r="L262" i="2"/>
  <c r="L20" i="11" s="1"/>
  <c r="L263" i="2"/>
  <c r="L21" i="11" s="1"/>
  <c r="J251" i="2"/>
  <c r="J13" i="11" s="1"/>
  <c r="L213" i="2"/>
  <c r="L339" i="2" s="1"/>
  <c r="L352" i="2" s="1"/>
  <c r="L151" i="2"/>
  <c r="L247" i="2" s="1"/>
  <c r="L10" i="11" s="1"/>
  <c r="L167" i="2"/>
  <c r="L143" i="2"/>
  <c r="L240" i="2" s="1"/>
  <c r="L6" i="11" s="1"/>
  <c r="L248" i="2"/>
  <c r="N224" i="2"/>
  <c r="N216" i="2"/>
  <c r="N227" i="2"/>
  <c r="L237" i="2"/>
  <c r="L147" i="2"/>
  <c r="L163" i="2"/>
  <c r="L256" i="2" s="1"/>
  <c r="L16" i="11" s="1"/>
  <c r="L140" i="2"/>
  <c r="L236" i="2" s="1"/>
  <c r="L4" i="11" s="1"/>
  <c r="F212" i="2"/>
  <c r="F206" i="2"/>
  <c r="N151" i="2"/>
  <c r="N247" i="2" s="1"/>
  <c r="N10" i="11" s="1"/>
  <c r="L175" i="2"/>
  <c r="F207" i="2"/>
  <c r="F209" i="2"/>
  <c r="L222" i="2"/>
  <c r="L292" i="2" s="1"/>
  <c r="L39" i="11" s="1"/>
  <c r="L195" i="2"/>
  <c r="L183" i="2"/>
  <c r="L271" i="2" s="1"/>
  <c r="L26" i="11" s="1"/>
  <c r="N198" i="2"/>
  <c r="N217" i="2" s="1"/>
  <c r="N182" i="2"/>
  <c r="N166" i="2"/>
  <c r="N150" i="2"/>
  <c r="N146" i="2"/>
  <c r="N186" i="2"/>
  <c r="N170" i="2"/>
  <c r="N154" i="2"/>
  <c r="N190" i="2"/>
  <c r="N174" i="2"/>
  <c r="N158" i="2"/>
  <c r="N202" i="2"/>
  <c r="N194" i="2"/>
  <c r="N178" i="2"/>
  <c r="N162" i="2"/>
  <c r="N142" i="2"/>
  <c r="N139" i="2"/>
  <c r="P2" i="2"/>
  <c r="O3" i="2"/>
  <c r="K335" i="2" l="1"/>
  <c r="K311" i="2"/>
  <c r="K52" i="11" s="1"/>
  <c r="I74" i="11"/>
  <c r="I77" i="11" s="1"/>
  <c r="I278" i="2"/>
  <c r="I31" i="11" s="1"/>
  <c r="I299" i="2"/>
  <c r="I376" i="2" s="1"/>
  <c r="I380" i="2" s="1"/>
  <c r="I296" i="2"/>
  <c r="I301" i="2" s="1"/>
  <c r="I45" i="11" s="1"/>
  <c r="K296" i="2"/>
  <c r="K368" i="2" s="1"/>
  <c r="L318" i="2"/>
  <c r="L354" i="2" s="1"/>
  <c r="L321" i="2" s="1"/>
  <c r="L58" i="11" s="1"/>
  <c r="K74" i="11"/>
  <c r="K77" i="11" s="1"/>
  <c r="P3" i="11"/>
  <c r="P73" i="11" s="1"/>
  <c r="P76" i="11" s="1"/>
  <c r="P385" i="2"/>
  <c r="E4" i="14"/>
  <c r="H6" i="17"/>
  <c r="G6" i="17"/>
  <c r="J6" i="17"/>
  <c r="I6" i="17"/>
  <c r="O370" i="2"/>
  <c r="O72" i="11"/>
  <c r="O77" i="11" s="1"/>
  <c r="J296" i="2"/>
  <c r="J368" i="2" s="1"/>
  <c r="K278" i="2"/>
  <c r="K31" i="11" s="1"/>
  <c r="J278" i="2"/>
  <c r="J31" i="11" s="1"/>
  <c r="J299" i="2"/>
  <c r="J44" i="11" s="1"/>
  <c r="K299" i="2"/>
  <c r="K376" i="2" s="1"/>
  <c r="K380" i="2" s="1"/>
  <c r="J310" i="2"/>
  <c r="J47" i="11"/>
  <c r="J74" i="11" s="1"/>
  <c r="J77" i="11" s="1"/>
  <c r="K275" i="2"/>
  <c r="K29" i="11" s="1"/>
  <c r="K28" i="11"/>
  <c r="K241" i="2"/>
  <c r="K6" i="11"/>
  <c r="K272" i="2"/>
  <c r="K27" i="11" s="1"/>
  <c r="K26" i="11"/>
  <c r="J332" i="2"/>
  <c r="J7" i="11"/>
  <c r="I368" i="2"/>
  <c r="M269" i="2"/>
  <c r="M25" i="11" s="1"/>
  <c r="M24" i="11"/>
  <c r="O218" i="2"/>
  <c r="I367" i="2"/>
  <c r="I40" i="11"/>
  <c r="J354" i="2"/>
  <c r="J321" i="2" s="1"/>
  <c r="J58" i="11" s="1"/>
  <c r="J56" i="11"/>
  <c r="L317" i="2"/>
  <c r="L55" i="11" s="1"/>
  <c r="L5" i="11"/>
  <c r="M248" i="2"/>
  <c r="M11" i="11" s="1"/>
  <c r="L11" i="11"/>
  <c r="I260" i="2"/>
  <c r="I19" i="11" s="1"/>
  <c r="I18" i="11"/>
  <c r="L310" i="2"/>
  <c r="L47" i="11"/>
  <c r="J260" i="2"/>
  <c r="J19" i="11" s="1"/>
  <c r="J18" i="11"/>
  <c r="K260" i="2"/>
  <c r="K19" i="11" s="1"/>
  <c r="K18" i="11"/>
  <c r="K367" i="2"/>
  <c r="K40" i="11"/>
  <c r="K266" i="2"/>
  <c r="K23" i="11" s="1"/>
  <c r="K22" i="11"/>
  <c r="K257" i="2"/>
  <c r="K17" i="11" s="1"/>
  <c r="K16" i="11"/>
  <c r="K281" i="2"/>
  <c r="K33" i="11" s="1"/>
  <c r="K32" i="11"/>
  <c r="I332" i="2"/>
  <c r="I7" i="11"/>
  <c r="K348" i="2"/>
  <c r="K51" i="11"/>
  <c r="J367" i="2"/>
  <c r="J40" i="11"/>
  <c r="K56" i="11"/>
  <c r="K354" i="2"/>
  <c r="K321" i="2" s="1"/>
  <c r="K58" i="11" s="1"/>
  <c r="F219" i="2"/>
  <c r="N232" i="2"/>
  <c r="O317" i="2"/>
  <c r="O55" i="11" s="1"/>
  <c r="O221" i="2"/>
  <c r="L293" i="2"/>
  <c r="F199" i="2"/>
  <c r="M199" i="2" s="1"/>
  <c r="M306" i="2" s="1"/>
  <c r="N171" i="2"/>
  <c r="N262" i="2" s="1"/>
  <c r="N20" i="11" s="1"/>
  <c r="F187" i="2"/>
  <c r="M187" i="2" s="1"/>
  <c r="M274" i="2" s="1"/>
  <c r="M28" i="11" s="1"/>
  <c r="O231" i="2"/>
  <c r="O230" i="2"/>
  <c r="I283" i="2"/>
  <c r="L241" i="2"/>
  <c r="N179" i="2"/>
  <c r="N268" i="2" s="1"/>
  <c r="M263" i="2"/>
  <c r="M21" i="11" s="1"/>
  <c r="L272" i="2"/>
  <c r="L27" i="11" s="1"/>
  <c r="F175" i="2"/>
  <c r="M175" i="2" s="1"/>
  <c r="M265" i="2" s="1"/>
  <c r="M22" i="11" s="1"/>
  <c r="L265" i="2"/>
  <c r="L275" i="2"/>
  <c r="L29" i="11" s="1"/>
  <c r="L257" i="2"/>
  <c r="L17" i="11" s="1"/>
  <c r="F195" i="2"/>
  <c r="L280" i="2"/>
  <c r="F167" i="2"/>
  <c r="M167" i="2" s="1"/>
  <c r="L259" i="2"/>
  <c r="L251" i="2"/>
  <c r="L13" i="11" s="1"/>
  <c r="N199" i="2"/>
  <c r="N306" i="2" s="1"/>
  <c r="N48" i="11" s="1"/>
  <c r="O227" i="2"/>
  <c r="O224" i="2"/>
  <c r="O216" i="2"/>
  <c r="O171" i="2"/>
  <c r="O262" i="2" s="1"/>
  <c r="O20" i="11" s="1"/>
  <c r="O151" i="2"/>
  <c r="O247" i="2" s="1"/>
  <c r="O10" i="11" s="1"/>
  <c r="L244" i="2"/>
  <c r="F147" i="2"/>
  <c r="F163" i="2"/>
  <c r="Q2" i="2"/>
  <c r="K6" i="17" s="1"/>
  <c r="P3" i="2"/>
  <c r="O202" i="2"/>
  <c r="O179" i="2"/>
  <c r="O268" i="2" s="1"/>
  <c r="O24" i="11" s="1"/>
  <c r="O194" i="2"/>
  <c r="O178" i="2"/>
  <c r="O162" i="2"/>
  <c r="O142" i="2"/>
  <c r="O198" i="2"/>
  <c r="O217" i="2" s="1"/>
  <c r="O182" i="2"/>
  <c r="O166" i="2"/>
  <c r="O150" i="2"/>
  <c r="O146" i="2"/>
  <c r="O186" i="2"/>
  <c r="O170" i="2"/>
  <c r="O154" i="2"/>
  <c r="O190" i="2"/>
  <c r="O174" i="2"/>
  <c r="O158" i="2"/>
  <c r="O139" i="2"/>
  <c r="J376" i="2" l="1"/>
  <c r="J380" i="2" s="1"/>
  <c r="I44" i="11"/>
  <c r="I42" i="11"/>
  <c r="K42" i="11"/>
  <c r="L56" i="11"/>
  <c r="J42" i="11"/>
  <c r="G34" i="17"/>
  <c r="G108" i="17" s="1"/>
  <c r="G38" i="17"/>
  <c r="G37" i="17"/>
  <c r="G117" i="17" s="1"/>
  <c r="G35" i="17"/>
  <c r="G111" i="17" s="1"/>
  <c r="K37" i="17"/>
  <c r="K117" i="17" s="1"/>
  <c r="E70" i="14"/>
  <c r="L70" i="14" s="1"/>
  <c r="G13" i="17" s="1"/>
  <c r="E78" i="14"/>
  <c r="E73" i="14"/>
  <c r="L73" i="14" s="1"/>
  <c r="G16" i="17" s="1"/>
  <c r="E79" i="14"/>
  <c r="L79" i="14" s="1"/>
  <c r="G22" i="17" s="1"/>
  <c r="P370" i="2"/>
  <c r="K35" i="17" s="1"/>
  <c r="K111" i="17" s="1"/>
  <c r="P72" i="11"/>
  <c r="P77" i="11" s="1"/>
  <c r="J37" i="17"/>
  <c r="J117" i="17" s="1"/>
  <c r="J35" i="17"/>
  <c r="J111" i="17" s="1"/>
  <c r="Q3" i="11"/>
  <c r="Q73" i="11" s="1"/>
  <c r="Q76" i="11" s="1"/>
  <c r="Q385" i="2"/>
  <c r="E67" i="14"/>
  <c r="L67" i="14" s="1"/>
  <c r="G10" i="17" s="1"/>
  <c r="G53" i="17" s="1"/>
  <c r="E80" i="14"/>
  <c r="H37" i="17"/>
  <c r="H117" i="17" s="1"/>
  <c r="H35" i="17"/>
  <c r="H111" i="17" s="1"/>
  <c r="N248" i="2"/>
  <c r="N11" i="11" s="1"/>
  <c r="J283" i="2"/>
  <c r="J34" i="11" s="1"/>
  <c r="E13" i="14"/>
  <c r="I37" i="17"/>
  <c r="I117" i="17" s="1"/>
  <c r="I35" i="17"/>
  <c r="I111" i="17" s="1"/>
  <c r="J301" i="2"/>
  <c r="J45" i="11" s="1"/>
  <c r="K301" i="2"/>
  <c r="K45" i="11" s="1"/>
  <c r="K44" i="11"/>
  <c r="L348" i="2"/>
  <c r="L51" i="11"/>
  <c r="K283" i="2"/>
  <c r="K34" i="11" s="1"/>
  <c r="P218" i="2"/>
  <c r="I371" i="2"/>
  <c r="I333" i="2"/>
  <c r="I334" i="2" s="1"/>
  <c r="I345" i="2" s="1"/>
  <c r="I349" i="2" s="1"/>
  <c r="I353" i="2" s="1"/>
  <c r="I34" i="11"/>
  <c r="L281" i="2"/>
  <c r="L33" i="11" s="1"/>
  <c r="L32" i="11"/>
  <c r="L266" i="2"/>
  <c r="L23" i="11" s="1"/>
  <c r="L22" i="11"/>
  <c r="N269" i="2"/>
  <c r="N25" i="11" s="1"/>
  <c r="N24" i="11"/>
  <c r="M307" i="2"/>
  <c r="M335" i="2" s="1"/>
  <c r="H30" i="17" s="1"/>
  <c r="H70" i="17" s="1"/>
  <c r="M48" i="11"/>
  <c r="K371" i="2"/>
  <c r="L260" i="2"/>
  <c r="L19" i="11" s="1"/>
  <c r="L18" i="11"/>
  <c r="J371" i="2"/>
  <c r="L245" i="2"/>
  <c r="L278" i="2" s="1"/>
  <c r="L8" i="11"/>
  <c r="L74" i="11" s="1"/>
  <c r="L77" i="11" s="1"/>
  <c r="L332" i="2"/>
  <c r="L7" i="11"/>
  <c r="L367" i="2"/>
  <c r="E68" i="14" s="1"/>
  <c r="L68" i="14" s="1"/>
  <c r="G11" i="17" s="1"/>
  <c r="L40" i="11"/>
  <c r="K332" i="2"/>
  <c r="K7" i="11"/>
  <c r="J348" i="2"/>
  <c r="J51" i="11"/>
  <c r="O219" i="2"/>
  <c r="O305" i="2" s="1"/>
  <c r="M219" i="2"/>
  <c r="M305" i="2" s="1"/>
  <c r="N219" i="2"/>
  <c r="N305" i="2" s="1"/>
  <c r="P317" i="2"/>
  <c r="P55" i="11" s="1"/>
  <c r="P221" i="2"/>
  <c r="O199" i="2"/>
  <c r="O306" i="2" s="1"/>
  <c r="O48" i="11" s="1"/>
  <c r="O187" i="2"/>
  <c r="O274" i="2" s="1"/>
  <c r="O28" i="11" s="1"/>
  <c r="N187" i="2"/>
  <c r="N274" i="2" s="1"/>
  <c r="N28" i="11" s="1"/>
  <c r="J289" i="2"/>
  <c r="J38" i="11" s="1"/>
  <c r="N263" i="2"/>
  <c r="O232" i="2"/>
  <c r="P230" i="2"/>
  <c r="P231" i="2"/>
  <c r="I286" i="2"/>
  <c r="I36" i="11" s="1"/>
  <c r="I289" i="2"/>
  <c r="I38" i="11" s="1"/>
  <c r="O167" i="2"/>
  <c r="O259" i="2" s="1"/>
  <c r="O18" i="11" s="1"/>
  <c r="N167" i="2"/>
  <c r="N259" i="2" s="1"/>
  <c r="O175" i="2"/>
  <c r="O265" i="2" s="1"/>
  <c r="O22" i="11" s="1"/>
  <c r="N175" i="2"/>
  <c r="N265" i="2" s="1"/>
  <c r="N22" i="11" s="1"/>
  <c r="M259" i="2"/>
  <c r="P227" i="2"/>
  <c r="P224" i="2"/>
  <c r="P216" i="2"/>
  <c r="P187" i="2"/>
  <c r="P274" i="2" s="1"/>
  <c r="P28" i="11" s="1"/>
  <c r="P175" i="2"/>
  <c r="P265" i="2" s="1"/>
  <c r="P22" i="11" s="1"/>
  <c r="P171" i="2"/>
  <c r="P262" i="2" s="1"/>
  <c r="P20" i="11" s="1"/>
  <c r="P151" i="2"/>
  <c r="P247" i="2" s="1"/>
  <c r="P10" i="11" s="1"/>
  <c r="P167" i="2"/>
  <c r="P147" i="2"/>
  <c r="P244" i="2" s="1"/>
  <c r="P8" i="11" s="1"/>
  <c r="M147" i="2"/>
  <c r="M244" i="2" s="1"/>
  <c r="M8" i="11" s="1"/>
  <c r="N147" i="2"/>
  <c r="N244" i="2" s="1"/>
  <c r="N8" i="11" s="1"/>
  <c r="O147" i="2"/>
  <c r="O244" i="2" s="1"/>
  <c r="O8" i="11" s="1"/>
  <c r="N163" i="2"/>
  <c r="N256" i="2" s="1"/>
  <c r="N16" i="11" s="1"/>
  <c r="P163" i="2"/>
  <c r="P256" i="2" s="1"/>
  <c r="P16" i="11" s="1"/>
  <c r="M163" i="2"/>
  <c r="M256" i="2" s="1"/>
  <c r="M16" i="11" s="1"/>
  <c r="O163" i="2"/>
  <c r="O256" i="2" s="1"/>
  <c r="O16" i="11" s="1"/>
  <c r="P190" i="2"/>
  <c r="P174" i="2"/>
  <c r="P158" i="2"/>
  <c r="P202" i="2"/>
  <c r="P179" i="2"/>
  <c r="P268" i="2" s="1"/>
  <c r="P24" i="11" s="1"/>
  <c r="P194" i="2"/>
  <c r="P178" i="2"/>
  <c r="P162" i="2"/>
  <c r="P142" i="2"/>
  <c r="P198" i="2"/>
  <c r="P217" i="2" s="1"/>
  <c r="P182" i="2"/>
  <c r="P166" i="2"/>
  <c r="P150" i="2"/>
  <c r="P146" i="2"/>
  <c r="P186" i="2"/>
  <c r="P170" i="2"/>
  <c r="P154" i="2"/>
  <c r="P139" i="2"/>
  <c r="P199" i="2"/>
  <c r="P306" i="2" s="1"/>
  <c r="P48" i="11" s="1"/>
  <c r="R2" i="2"/>
  <c r="Q3" i="2"/>
  <c r="K286" i="2" l="1"/>
  <c r="K36" i="11" s="1"/>
  <c r="K289" i="2"/>
  <c r="K38" i="11" s="1"/>
  <c r="L296" i="2"/>
  <c r="L42" i="11" s="1"/>
  <c r="O248" i="2"/>
  <c r="O11" i="11" s="1"/>
  <c r="J286" i="2"/>
  <c r="J36" i="11" s="1"/>
  <c r="G32" i="17"/>
  <c r="G106" i="17" s="1"/>
  <c r="J333" i="2"/>
  <c r="J334" i="2" s="1"/>
  <c r="J345" i="2" s="1"/>
  <c r="H51" i="17"/>
  <c r="G105" i="17"/>
  <c r="H55" i="17"/>
  <c r="H74" i="17" s="1"/>
  <c r="H89" i="17" s="1"/>
  <c r="I80" i="14"/>
  <c r="E52" i="14"/>
  <c r="K302" i="2"/>
  <c r="K46" i="11" s="1"/>
  <c r="I336" i="2"/>
  <c r="I340" i="2" s="1"/>
  <c r="I342" i="2" s="1"/>
  <c r="Q370" i="2"/>
  <c r="Q72" i="11"/>
  <c r="Q77" i="11" s="1"/>
  <c r="J302" i="2"/>
  <c r="J347" i="2" s="1"/>
  <c r="Q218" i="2"/>
  <c r="Q219" i="2" s="1"/>
  <c r="Q305" i="2" s="1"/>
  <c r="R3" i="11"/>
  <c r="R73" i="11" s="1"/>
  <c r="R76" i="11" s="1"/>
  <c r="R385" i="2"/>
  <c r="K333" i="2"/>
  <c r="K334" i="2" s="1"/>
  <c r="K336" i="2" s="1"/>
  <c r="L283" i="2"/>
  <c r="L34" i="11" s="1"/>
  <c r="L31" i="11"/>
  <c r="N310" i="2"/>
  <c r="N47" i="11"/>
  <c r="O269" i="2"/>
  <c r="O25" i="11" s="1"/>
  <c r="J382" i="2"/>
  <c r="J383" i="2" s="1"/>
  <c r="J373" i="2"/>
  <c r="J372" i="2"/>
  <c r="L299" i="2"/>
  <c r="L9" i="11"/>
  <c r="N260" i="2"/>
  <c r="N19" i="11" s="1"/>
  <c r="N18" i="11"/>
  <c r="M310" i="2"/>
  <c r="M47" i="11"/>
  <c r="O310" i="2"/>
  <c r="O47" i="11"/>
  <c r="M311" i="2"/>
  <c r="M52" i="11" s="1"/>
  <c r="M49" i="11"/>
  <c r="K373" i="2"/>
  <c r="K372" i="2"/>
  <c r="K382" i="2"/>
  <c r="K383" i="2" s="1"/>
  <c r="M260" i="2"/>
  <c r="M19" i="11" s="1"/>
  <c r="M18" i="11"/>
  <c r="K347" i="2"/>
  <c r="O263" i="2"/>
  <c r="O21" i="11" s="1"/>
  <c r="N21" i="11"/>
  <c r="P219" i="2"/>
  <c r="P305" i="2" s="1"/>
  <c r="I382" i="2"/>
  <c r="I383" i="2" s="1"/>
  <c r="I372" i="2"/>
  <c r="I373" i="2"/>
  <c r="I355" i="2"/>
  <c r="I356" i="2" s="1"/>
  <c r="I362" i="2" s="1"/>
  <c r="Q317" i="2"/>
  <c r="Q55" i="11" s="1"/>
  <c r="Q221" i="2"/>
  <c r="L368" i="2"/>
  <c r="G33" i="17" s="1"/>
  <c r="G107" i="17" s="1"/>
  <c r="P232" i="2"/>
  <c r="Q230" i="2"/>
  <c r="Q231" i="2"/>
  <c r="P269" i="2"/>
  <c r="P25" i="11" s="1"/>
  <c r="P248" i="2"/>
  <c r="P11" i="11" s="1"/>
  <c r="P263" i="2"/>
  <c r="P21" i="11" s="1"/>
  <c r="P259" i="2"/>
  <c r="P18" i="11" s="1"/>
  <c r="Q224" i="2"/>
  <c r="Q216" i="2"/>
  <c r="Q227" i="2"/>
  <c r="Q187" i="2"/>
  <c r="Q274" i="2" s="1"/>
  <c r="Q28" i="11" s="1"/>
  <c r="Q171" i="2"/>
  <c r="Q262" i="2" s="1"/>
  <c r="Q20" i="11" s="1"/>
  <c r="Q175" i="2"/>
  <c r="Q265" i="2" s="1"/>
  <c r="Q22" i="11" s="1"/>
  <c r="Q151" i="2"/>
  <c r="Q247" i="2" s="1"/>
  <c r="Q10" i="11" s="1"/>
  <c r="Q167" i="2"/>
  <c r="Q147" i="2"/>
  <c r="Q244" i="2" s="1"/>
  <c r="Q8" i="11" s="1"/>
  <c r="Q163" i="2"/>
  <c r="Q256" i="2" s="1"/>
  <c r="Q16" i="11" s="1"/>
  <c r="Q186" i="2"/>
  <c r="Q170" i="2"/>
  <c r="Q154" i="2"/>
  <c r="Q190" i="2"/>
  <c r="Q174" i="2"/>
  <c r="Q158" i="2"/>
  <c r="Q202" i="2"/>
  <c r="Q179" i="2"/>
  <c r="Q268" i="2" s="1"/>
  <c r="Q24" i="11" s="1"/>
  <c r="Q194" i="2"/>
  <c r="Q178" i="2"/>
  <c r="Q162" i="2"/>
  <c r="Q142" i="2"/>
  <c r="Q198" i="2"/>
  <c r="Q217" i="2" s="1"/>
  <c r="Q182" i="2"/>
  <c r="Q166" i="2"/>
  <c r="Q150" i="2"/>
  <c r="Q146" i="2"/>
  <c r="Q139" i="2"/>
  <c r="Q199" i="2"/>
  <c r="Q306" i="2" s="1"/>
  <c r="Q48" i="11" s="1"/>
  <c r="S2" i="2"/>
  <c r="R3" i="2"/>
  <c r="R72" i="11" s="1"/>
  <c r="R77" i="11" s="1"/>
  <c r="J336" i="2" l="1"/>
  <c r="J340" i="2" s="1"/>
  <c r="J342" i="2" s="1"/>
  <c r="O260" i="2"/>
  <c r="O19" i="11" s="1"/>
  <c r="L301" i="2"/>
  <c r="L302" i="2" s="1"/>
  <c r="I387" i="2"/>
  <c r="M312" i="2"/>
  <c r="M369" i="2" s="1"/>
  <c r="H34" i="17" s="1"/>
  <c r="H108" i="17" s="1"/>
  <c r="L286" i="2"/>
  <c r="L36" i="11" s="1"/>
  <c r="H48" i="17"/>
  <c r="S3" i="11"/>
  <c r="S73" i="11" s="1"/>
  <c r="S76" i="11" s="1"/>
  <c r="S385" i="2"/>
  <c r="K345" i="2"/>
  <c r="K349" i="2" s="1"/>
  <c r="K353" i="2" s="1"/>
  <c r="K355" i="2" s="1"/>
  <c r="K356" i="2" s="1"/>
  <c r="K362" i="2" s="1"/>
  <c r="J46" i="11"/>
  <c r="J349" i="2"/>
  <c r="J353" i="2" s="1"/>
  <c r="J355" i="2" s="1"/>
  <c r="J356" i="2" s="1"/>
  <c r="J362" i="2" s="1"/>
  <c r="L371" i="2"/>
  <c r="E74" i="14" s="1"/>
  <c r="E69" i="14"/>
  <c r="L69" i="14" s="1"/>
  <c r="G12" i="17" s="1"/>
  <c r="L333" i="2"/>
  <c r="L334" i="2" s="1"/>
  <c r="L345" i="2" s="1"/>
  <c r="E7" i="14" s="1"/>
  <c r="E8" i="14" s="1"/>
  <c r="E14" i="14" s="1"/>
  <c r="L289" i="2"/>
  <c r="L38" i="11" s="1"/>
  <c r="O348" i="2"/>
  <c r="J29" i="17" s="1"/>
  <c r="J84" i="17" s="1"/>
  <c r="O51" i="11"/>
  <c r="N348" i="2"/>
  <c r="I29" i="17" s="1"/>
  <c r="I84" i="17" s="1"/>
  <c r="N51" i="11"/>
  <c r="R370" i="2"/>
  <c r="R218" i="2"/>
  <c r="R219" i="2" s="1"/>
  <c r="R305" i="2" s="1"/>
  <c r="P310" i="2"/>
  <c r="P47" i="11"/>
  <c r="L376" i="2"/>
  <c r="G36" i="17" s="1"/>
  <c r="G115" i="17" s="1"/>
  <c r="L44" i="11"/>
  <c r="Q310" i="2"/>
  <c r="Q47" i="11"/>
  <c r="M348" i="2"/>
  <c r="H29" i="17" s="1"/>
  <c r="H84" i="17" s="1"/>
  <c r="M51" i="11"/>
  <c r="I361" i="2"/>
  <c r="I386" i="2"/>
  <c r="K340" i="2"/>
  <c r="K342" i="2" s="1"/>
  <c r="K387" i="2"/>
  <c r="P260" i="2"/>
  <c r="P19" i="11" s="1"/>
  <c r="R317" i="2"/>
  <c r="R55" i="11" s="1"/>
  <c r="R221" i="2"/>
  <c r="Q263" i="2"/>
  <c r="Q21" i="11" s="1"/>
  <c r="Q232" i="2"/>
  <c r="R230" i="2"/>
  <c r="R231" i="2"/>
  <c r="Q269" i="2"/>
  <c r="Q25" i="11" s="1"/>
  <c r="Q248" i="2"/>
  <c r="Q11" i="11" s="1"/>
  <c r="Q259" i="2"/>
  <c r="Q18" i="11" s="1"/>
  <c r="R224" i="2"/>
  <c r="R216" i="2"/>
  <c r="R227" i="2"/>
  <c r="R171" i="2"/>
  <c r="R262" i="2" s="1"/>
  <c r="R20" i="11" s="1"/>
  <c r="R175" i="2"/>
  <c r="R265" i="2" s="1"/>
  <c r="R22" i="11" s="1"/>
  <c r="R187" i="2"/>
  <c r="R274" i="2" s="1"/>
  <c r="R28" i="11" s="1"/>
  <c r="R151" i="2"/>
  <c r="R247" i="2" s="1"/>
  <c r="R10" i="11" s="1"/>
  <c r="R167" i="2"/>
  <c r="R147" i="2"/>
  <c r="R244" i="2" s="1"/>
  <c r="R8" i="11" s="1"/>
  <c r="R163" i="2"/>
  <c r="R256" i="2" s="1"/>
  <c r="R16" i="11" s="1"/>
  <c r="R198" i="2"/>
  <c r="R217" i="2" s="1"/>
  <c r="R182" i="2"/>
  <c r="R166" i="2"/>
  <c r="R150" i="2"/>
  <c r="R186" i="2"/>
  <c r="R170" i="2"/>
  <c r="R154" i="2"/>
  <c r="R146" i="2"/>
  <c r="R190" i="2"/>
  <c r="R174" i="2"/>
  <c r="R158" i="2"/>
  <c r="R202" i="2"/>
  <c r="R179" i="2"/>
  <c r="R268" i="2" s="1"/>
  <c r="R24" i="11" s="1"/>
  <c r="R194" i="2"/>
  <c r="R178" i="2"/>
  <c r="R162" i="2"/>
  <c r="R142" i="2"/>
  <c r="R139" i="2"/>
  <c r="R199" i="2"/>
  <c r="R306" i="2" s="1"/>
  <c r="R48" i="11" s="1"/>
  <c r="T2" i="2"/>
  <c r="S3" i="2"/>
  <c r="S72" i="11" s="1"/>
  <c r="S77" i="11" s="1"/>
  <c r="J387" i="2" l="1"/>
  <c r="L45" i="11"/>
  <c r="N309" i="2"/>
  <c r="N50" i="11" s="1"/>
  <c r="M53" i="11"/>
  <c r="L372" i="2"/>
  <c r="L336" i="2"/>
  <c r="L340" i="2" s="1"/>
  <c r="L342" i="2" s="1"/>
  <c r="E16" i="14" s="1"/>
  <c r="E17" i="14" s="1"/>
  <c r="L373" i="2"/>
  <c r="T385" i="2"/>
  <c r="O6" i="17"/>
  <c r="N6" i="17"/>
  <c r="L6" i="17"/>
  <c r="M6" i="17"/>
  <c r="E40" i="14"/>
  <c r="E16" i="18" s="1"/>
  <c r="E26" i="14"/>
  <c r="E27" i="14" s="1"/>
  <c r="E12" i="18" s="1"/>
  <c r="E41" i="14"/>
  <c r="L380" i="2"/>
  <c r="E77" i="14"/>
  <c r="L77" i="14" s="1"/>
  <c r="G20" i="17" s="1"/>
  <c r="R310" i="2"/>
  <c r="R47" i="11"/>
  <c r="S370" i="2"/>
  <c r="Q348" i="2"/>
  <c r="Q51" i="11"/>
  <c r="T3" i="2"/>
  <c r="T3" i="11"/>
  <c r="T73" i="11" s="1"/>
  <c r="T76" i="11" s="1"/>
  <c r="P348" i="2"/>
  <c r="K29" i="17" s="1"/>
  <c r="K84" i="17" s="1"/>
  <c r="P51" i="11"/>
  <c r="N307" i="2"/>
  <c r="N49" i="11" s="1"/>
  <c r="S218" i="2"/>
  <c r="S219" i="2" s="1"/>
  <c r="S305" i="2" s="1"/>
  <c r="L347" i="2"/>
  <c r="L349" i="2" s="1"/>
  <c r="L353" i="2" s="1"/>
  <c r="L355" i="2" s="1"/>
  <c r="L356" i="2" s="1"/>
  <c r="L362" i="2" s="1"/>
  <c r="L46" i="11"/>
  <c r="J361" i="2"/>
  <c r="J386" i="2"/>
  <c r="K361" i="2"/>
  <c r="K386" i="2"/>
  <c r="S317" i="2"/>
  <c r="S55" i="11" s="1"/>
  <c r="S221" i="2"/>
  <c r="R263" i="2"/>
  <c r="R21" i="11" s="1"/>
  <c r="R269" i="2"/>
  <c r="R25" i="11" s="1"/>
  <c r="R232" i="2"/>
  <c r="Q260" i="2"/>
  <c r="Q19" i="11" s="1"/>
  <c r="R248" i="2"/>
  <c r="R11" i="11" s="1"/>
  <c r="S231" i="2"/>
  <c r="S230" i="2"/>
  <c r="T231" i="2"/>
  <c r="R259" i="2"/>
  <c r="R18" i="11" s="1"/>
  <c r="S227" i="2"/>
  <c r="S224" i="2"/>
  <c r="S216" i="2"/>
  <c r="S171" i="2"/>
  <c r="S262" i="2" s="1"/>
  <c r="S20" i="11" s="1"/>
  <c r="S187" i="2"/>
  <c r="S274" i="2" s="1"/>
  <c r="S28" i="11" s="1"/>
  <c r="S175" i="2"/>
  <c r="S265" i="2" s="1"/>
  <c r="S22" i="11" s="1"/>
  <c r="S151" i="2"/>
  <c r="S247" i="2" s="1"/>
  <c r="S10" i="11" s="1"/>
  <c r="S167" i="2"/>
  <c r="S147" i="2"/>
  <c r="S244" i="2" s="1"/>
  <c r="S8" i="11" s="1"/>
  <c r="S163" i="2"/>
  <c r="S256" i="2" s="1"/>
  <c r="S16" i="11" s="1"/>
  <c r="T187" i="2"/>
  <c r="T274" i="2" s="1"/>
  <c r="T28" i="11" s="1"/>
  <c r="F191" i="2"/>
  <c r="F155" i="2"/>
  <c r="F140" i="2"/>
  <c r="S202" i="2"/>
  <c r="S179" i="2"/>
  <c r="S268" i="2" s="1"/>
  <c r="S24" i="11" s="1"/>
  <c r="S194" i="2"/>
  <c r="S178" i="2"/>
  <c r="S162" i="2"/>
  <c r="S198" i="2"/>
  <c r="S217" i="2" s="1"/>
  <c r="S182" i="2"/>
  <c r="S166" i="2"/>
  <c r="S150" i="2"/>
  <c r="S146" i="2"/>
  <c r="S142" i="2"/>
  <c r="S186" i="2"/>
  <c r="S170" i="2"/>
  <c r="S154" i="2"/>
  <c r="S190" i="2"/>
  <c r="S174" i="2"/>
  <c r="S158" i="2"/>
  <c r="S139" i="2"/>
  <c r="S199" i="2"/>
  <c r="S306" i="2" s="1"/>
  <c r="S48" i="11" s="1"/>
  <c r="T202" i="2"/>
  <c r="T162" i="2"/>
  <c r="T166" i="2"/>
  <c r="T170" i="2"/>
  <c r="S195" i="2"/>
  <c r="S280" i="2" s="1"/>
  <c r="S32" i="11" s="1"/>
  <c r="N335" i="2" l="1"/>
  <c r="I30" i="17" s="1"/>
  <c r="I70" i="17" s="1"/>
  <c r="L387" i="2"/>
  <c r="H80" i="14"/>
  <c r="E17" i="18"/>
  <c r="L29" i="17"/>
  <c r="L84" i="17" s="1"/>
  <c r="N35" i="17"/>
  <c r="N111" i="17" s="1"/>
  <c r="N37" i="17"/>
  <c r="N117" i="17" s="1"/>
  <c r="L37" i="17"/>
  <c r="L117" i="17" s="1"/>
  <c r="L35" i="17"/>
  <c r="L111" i="17" s="1"/>
  <c r="T370" i="2"/>
  <c r="O35" i="17" s="1"/>
  <c r="O111" i="17" s="1"/>
  <c r="T72" i="11"/>
  <c r="T77" i="11" s="1"/>
  <c r="O37" i="17"/>
  <c r="O117" i="17" s="1"/>
  <c r="M35" i="17"/>
  <c r="M111" i="17" s="1"/>
  <c r="M37" i="17"/>
  <c r="M117" i="17" s="1"/>
  <c r="E46" i="14"/>
  <c r="E22" i="18" s="1"/>
  <c r="E42" i="14"/>
  <c r="L382" i="2"/>
  <c r="L383" i="2" s="1"/>
  <c r="E81" i="14"/>
  <c r="E51" i="14"/>
  <c r="E53" i="14" s="1"/>
  <c r="F71" i="14" s="1"/>
  <c r="K71" i="14" s="1"/>
  <c r="N311" i="2"/>
  <c r="N52" i="11" s="1"/>
  <c r="S310" i="2"/>
  <c r="S47" i="11"/>
  <c r="T182" i="2"/>
  <c r="F183" i="2"/>
  <c r="N183" i="2" s="1"/>
  <c r="N271" i="2" s="1"/>
  <c r="N26" i="11" s="1"/>
  <c r="T230" i="2"/>
  <c r="T218" i="2"/>
  <c r="T139" i="2"/>
  <c r="T146" i="2"/>
  <c r="T198" i="2"/>
  <c r="T217" i="2" s="1"/>
  <c r="T194" i="2"/>
  <c r="T174" i="2"/>
  <c r="T147" i="2"/>
  <c r="T244" i="2" s="1"/>
  <c r="T8" i="11" s="1"/>
  <c r="T171" i="2"/>
  <c r="T262" i="2" s="1"/>
  <c r="T20" i="11" s="1"/>
  <c r="T224" i="2"/>
  <c r="F143" i="2"/>
  <c r="S143" i="2" s="1"/>
  <c r="S240" i="2" s="1"/>
  <c r="S6" i="11" s="1"/>
  <c r="T317" i="2"/>
  <c r="T55" i="11" s="1"/>
  <c r="T219" i="2"/>
  <c r="T305" i="2" s="1"/>
  <c r="T199" i="2"/>
  <c r="T306" i="2" s="1"/>
  <c r="T48" i="11" s="1"/>
  <c r="T186" i="2"/>
  <c r="T178" i="2"/>
  <c r="T158" i="2"/>
  <c r="T163" i="2"/>
  <c r="T256" i="2" s="1"/>
  <c r="T16" i="11" s="1"/>
  <c r="T151" i="2"/>
  <c r="T247" i="2" s="1"/>
  <c r="T10" i="11" s="1"/>
  <c r="T216" i="2"/>
  <c r="T221" i="2"/>
  <c r="T154" i="2"/>
  <c r="T150" i="2"/>
  <c r="T142" i="2"/>
  <c r="T179" i="2"/>
  <c r="T268" i="2" s="1"/>
  <c r="T24" i="11" s="1"/>
  <c r="T190" i="2"/>
  <c r="T167" i="2"/>
  <c r="T259" i="2" s="1"/>
  <c r="T18" i="11" s="1"/>
  <c r="T175" i="2"/>
  <c r="T265" i="2" s="1"/>
  <c r="T22" i="11" s="1"/>
  <c r="T227" i="2"/>
  <c r="F159" i="2"/>
  <c r="O159" i="2" s="1"/>
  <c r="O253" i="2" s="1"/>
  <c r="G372" i="2"/>
  <c r="R348" i="2"/>
  <c r="M29" i="17" s="1"/>
  <c r="M84" i="17" s="1"/>
  <c r="R51" i="11"/>
  <c r="L361" i="2"/>
  <c r="L386" i="2"/>
  <c r="S263" i="2"/>
  <c r="S21" i="11" s="1"/>
  <c r="S248" i="2"/>
  <c r="S269" i="2"/>
  <c r="R260" i="2"/>
  <c r="R19" i="11" s="1"/>
  <c r="T159" i="2"/>
  <c r="T253" i="2" s="1"/>
  <c r="S232" i="2"/>
  <c r="T232" i="2"/>
  <c r="S159" i="2"/>
  <c r="S253" i="2" s="1"/>
  <c r="Q159" i="2"/>
  <c r="Q253" i="2" s="1"/>
  <c r="S259" i="2"/>
  <c r="N155" i="2"/>
  <c r="N250" i="2" s="1"/>
  <c r="R155" i="2"/>
  <c r="O155" i="2"/>
  <c r="O250" i="2" s="1"/>
  <c r="S155" i="2"/>
  <c r="S250" i="2" s="1"/>
  <c r="P155" i="2"/>
  <c r="P250" i="2" s="1"/>
  <c r="T155" i="2"/>
  <c r="T250" i="2" s="1"/>
  <c r="T12" i="11" s="1"/>
  <c r="M155" i="2"/>
  <c r="M250" i="2" s="1"/>
  <c r="Q155" i="2"/>
  <c r="Q250" i="2" s="1"/>
  <c r="N140" i="2"/>
  <c r="N236" i="2" s="1"/>
  <c r="N4" i="11" s="1"/>
  <c r="M140" i="2"/>
  <c r="M236" i="2" s="1"/>
  <c r="M4" i="11" s="1"/>
  <c r="P140" i="2"/>
  <c r="P236" i="2" s="1"/>
  <c r="P4" i="11" s="1"/>
  <c r="O140" i="2"/>
  <c r="O236" i="2" s="1"/>
  <c r="O4" i="11" s="1"/>
  <c r="Q140" i="2"/>
  <c r="Q236" i="2" s="1"/>
  <c r="Q4" i="11" s="1"/>
  <c r="R140" i="2"/>
  <c r="R236" i="2" s="1"/>
  <c r="R4" i="11" s="1"/>
  <c r="R250" i="2"/>
  <c r="T140" i="2"/>
  <c r="T236" i="2" s="1"/>
  <c r="T4" i="11" s="1"/>
  <c r="P191" i="2"/>
  <c r="P277" i="2" s="1"/>
  <c r="P30" i="11" s="1"/>
  <c r="M191" i="2"/>
  <c r="M277" i="2" s="1"/>
  <c r="M30" i="11" s="1"/>
  <c r="N191" i="2"/>
  <c r="N277" i="2" s="1"/>
  <c r="N30" i="11" s="1"/>
  <c r="O191" i="2"/>
  <c r="O277" i="2" s="1"/>
  <c r="O30" i="11" s="1"/>
  <c r="Q191" i="2"/>
  <c r="Q277" i="2" s="1"/>
  <c r="Q30" i="11" s="1"/>
  <c r="R191" i="2"/>
  <c r="R277" i="2" s="1"/>
  <c r="R30" i="11" s="1"/>
  <c r="S191" i="2"/>
  <c r="S277" i="2" s="1"/>
  <c r="S30" i="11" s="1"/>
  <c r="T191" i="2"/>
  <c r="T277" i="2" s="1"/>
  <c r="T30" i="11" s="1"/>
  <c r="S140" i="2"/>
  <c r="S236" i="2" s="1"/>
  <c r="S4" i="11" s="1"/>
  <c r="R195" i="2"/>
  <c r="R280" i="2" s="1"/>
  <c r="R32" i="11" s="1"/>
  <c r="M195" i="2"/>
  <c r="M280" i="2" s="1"/>
  <c r="M32" i="11" s="1"/>
  <c r="N195" i="2"/>
  <c r="N280" i="2" s="1"/>
  <c r="N32" i="11" s="1"/>
  <c r="O195" i="2"/>
  <c r="O280" i="2" s="1"/>
  <c r="O32" i="11" s="1"/>
  <c r="P195" i="2"/>
  <c r="P280" i="2" s="1"/>
  <c r="P32" i="11" s="1"/>
  <c r="Q195" i="2"/>
  <c r="Q280" i="2" s="1"/>
  <c r="Q32" i="11" s="1"/>
  <c r="T195" i="2"/>
  <c r="T280" i="2" s="1"/>
  <c r="T32" i="11" s="1"/>
  <c r="N206" i="2"/>
  <c r="T206" i="2"/>
  <c r="F222" i="2"/>
  <c r="T222" i="2" s="1"/>
  <c r="T292" i="2" s="1"/>
  <c r="T39" i="11" s="1"/>
  <c r="T207" i="2"/>
  <c r="M207" i="2"/>
  <c r="Q207" i="2"/>
  <c r="N212" i="2"/>
  <c r="T212" i="2"/>
  <c r="O209" i="2"/>
  <c r="T209" i="2"/>
  <c r="P209" i="2"/>
  <c r="R209" i="2"/>
  <c r="F228" i="2"/>
  <c r="P228" i="2" s="1"/>
  <c r="P298" i="2" s="1"/>
  <c r="P43" i="11" s="1"/>
  <c r="R203" i="2"/>
  <c r="R330" i="2" s="1"/>
  <c r="M31" i="17" s="1"/>
  <c r="Q210" i="2"/>
  <c r="F225" i="2"/>
  <c r="Q225" i="2" s="1"/>
  <c r="Q295" i="2" s="1"/>
  <c r="Q41" i="11" s="1"/>
  <c r="N208" i="2"/>
  <c r="R206" i="2"/>
  <c r="O211" i="2"/>
  <c r="R212" i="2"/>
  <c r="T143" i="2" l="1"/>
  <c r="T240" i="2" s="1"/>
  <c r="T6" i="11" s="1"/>
  <c r="G72" i="14"/>
  <c r="K72" i="14" s="1"/>
  <c r="L72" i="14" s="1"/>
  <c r="G15" i="17" s="1"/>
  <c r="G64" i="17" s="1"/>
  <c r="G66" i="17" s="1"/>
  <c r="E18" i="18"/>
  <c r="R183" i="2"/>
  <c r="R271" i="2" s="1"/>
  <c r="R26" i="11" s="1"/>
  <c r="O183" i="2"/>
  <c r="O271" i="2" s="1"/>
  <c r="O26" i="11" s="1"/>
  <c r="N312" i="2"/>
  <c r="N53" i="11" s="1"/>
  <c r="R143" i="2"/>
  <c r="R240" i="2" s="1"/>
  <c r="R6" i="11" s="1"/>
  <c r="M143" i="2"/>
  <c r="M240" i="2" s="1"/>
  <c r="M6" i="11" s="1"/>
  <c r="E43" i="14"/>
  <c r="O143" i="2"/>
  <c r="O240" i="2" s="1"/>
  <c r="O6" i="11" s="1"/>
  <c r="L71" i="14"/>
  <c r="G14" i="17" s="1"/>
  <c r="G78" i="14"/>
  <c r="K78" i="14" s="1"/>
  <c r="N251" i="2"/>
  <c r="N13" i="11" s="1"/>
  <c r="N12" i="11"/>
  <c r="N74" i="11" s="1"/>
  <c r="N78" i="11" s="1"/>
  <c r="S14" i="11"/>
  <c r="O14" i="11"/>
  <c r="S251" i="2"/>
  <c r="S13" i="11" s="1"/>
  <c r="S12" i="11"/>
  <c r="R159" i="2"/>
  <c r="R253" i="2" s="1"/>
  <c r="P159" i="2"/>
  <c r="P253" i="2" s="1"/>
  <c r="Q143" i="2"/>
  <c r="Q240" i="2" s="1"/>
  <c r="Q6" i="11" s="1"/>
  <c r="N143" i="2"/>
  <c r="N240" i="2" s="1"/>
  <c r="N6" i="11" s="1"/>
  <c r="P183" i="2"/>
  <c r="P271" i="2" s="1"/>
  <c r="P26" i="11" s="1"/>
  <c r="M251" i="2"/>
  <c r="M13" i="11" s="1"/>
  <c r="M12" i="11"/>
  <c r="M74" i="11" s="1"/>
  <c r="M78" i="11" s="1"/>
  <c r="O251" i="2"/>
  <c r="O13" i="11" s="1"/>
  <c r="O12" i="11"/>
  <c r="M159" i="2"/>
  <c r="M253" i="2" s="1"/>
  <c r="M254" i="2" s="1"/>
  <c r="T269" i="2"/>
  <c r="T25" i="11" s="1"/>
  <c r="S25" i="11"/>
  <c r="P251" i="2"/>
  <c r="P13" i="11" s="1"/>
  <c r="P12" i="11"/>
  <c r="Q14" i="11"/>
  <c r="T14" i="11"/>
  <c r="Q183" i="2"/>
  <c r="Q271" i="2" s="1"/>
  <c r="Q26" i="11" s="1"/>
  <c r="M183" i="2"/>
  <c r="M271" i="2" s="1"/>
  <c r="M26" i="11" s="1"/>
  <c r="Q251" i="2"/>
  <c r="Q13" i="11" s="1"/>
  <c r="Q12" i="11"/>
  <c r="S260" i="2"/>
  <c r="S19" i="11" s="1"/>
  <c r="S18" i="11"/>
  <c r="T310" i="2"/>
  <c r="T47" i="11"/>
  <c r="T183" i="2"/>
  <c r="T271" i="2" s="1"/>
  <c r="T26" i="11" s="1"/>
  <c r="P143" i="2"/>
  <c r="P240" i="2" s="1"/>
  <c r="P6" i="11" s="1"/>
  <c r="S183" i="2"/>
  <c r="S271" i="2" s="1"/>
  <c r="S26" i="11" s="1"/>
  <c r="R251" i="2"/>
  <c r="R13" i="11" s="1"/>
  <c r="R12" i="11"/>
  <c r="T263" i="2"/>
  <c r="T21" i="11" s="1"/>
  <c r="N159" i="2"/>
  <c r="N253" i="2" s="1"/>
  <c r="T248" i="2"/>
  <c r="T11" i="11" s="1"/>
  <c r="S11" i="11"/>
  <c r="S348" i="2"/>
  <c r="N29" i="17" s="1"/>
  <c r="N84" i="17" s="1"/>
  <c r="S51" i="11"/>
  <c r="M237" i="2"/>
  <c r="M5" i="11" s="1"/>
  <c r="S225" i="2"/>
  <c r="S295" i="2" s="1"/>
  <c r="S41" i="11" s="1"/>
  <c r="T225" i="2"/>
  <c r="T295" i="2" s="1"/>
  <c r="T41" i="11" s="1"/>
  <c r="R222" i="2"/>
  <c r="R292" i="2" s="1"/>
  <c r="R39" i="11" s="1"/>
  <c r="S222" i="2"/>
  <c r="S292" i="2" s="1"/>
  <c r="S39" i="11" s="1"/>
  <c r="S203" i="2"/>
  <c r="S330" i="2" s="1"/>
  <c r="N31" i="17" s="1"/>
  <c r="N203" i="2"/>
  <c r="N330" i="2" s="1"/>
  <c r="I31" i="17" s="1"/>
  <c r="M203" i="2"/>
  <c r="M330" i="2" s="1"/>
  <c r="H31" i="17" s="1"/>
  <c r="P210" i="2"/>
  <c r="T211" i="2"/>
  <c r="Q228" i="2"/>
  <c r="Q298" i="2" s="1"/>
  <c r="Q43" i="11" s="1"/>
  <c r="M211" i="2"/>
  <c r="M208" i="2"/>
  <c r="M210" i="2"/>
  <c r="M228" i="2"/>
  <c r="M298" i="2" s="1"/>
  <c r="M43" i="11" s="1"/>
  <c r="R210" i="2"/>
  <c r="N209" i="2"/>
  <c r="Q209" i="2"/>
  <c r="O212" i="2"/>
  <c r="S208" i="2"/>
  <c r="P208" i="2"/>
  <c r="O203" i="2"/>
  <c r="O330" i="2" s="1"/>
  <c r="J31" i="17" s="1"/>
  <c r="Q203" i="2"/>
  <c r="Q330" i="2" s="1"/>
  <c r="L31" i="17" s="1"/>
  <c r="P207" i="2"/>
  <c r="R207" i="2"/>
  <c r="P211" i="2"/>
  <c r="R211" i="2"/>
  <c r="N225" i="2"/>
  <c r="N295" i="2" s="1"/>
  <c r="N41" i="11" s="1"/>
  <c r="R225" i="2"/>
  <c r="R295" i="2" s="1"/>
  <c r="R41" i="11" s="1"/>
  <c r="S228" i="2"/>
  <c r="S298" i="2" s="1"/>
  <c r="S43" i="11" s="1"/>
  <c r="O222" i="2"/>
  <c r="O292" i="2" s="1"/>
  <c r="O39" i="11" s="1"/>
  <c r="Q222" i="2"/>
  <c r="Q292" i="2" s="1"/>
  <c r="Q39" i="11" s="1"/>
  <c r="O206" i="2"/>
  <c r="T210" i="2"/>
  <c r="Q211" i="2"/>
  <c r="O228" i="2"/>
  <c r="O298" i="2" s="1"/>
  <c r="O43" i="11" s="1"/>
  <c r="S210" i="2"/>
  <c r="N210" i="2"/>
  <c r="M209" i="2"/>
  <c r="S209" i="2"/>
  <c r="Q212" i="2"/>
  <c r="S212" i="2"/>
  <c r="R208" i="2"/>
  <c r="T208" i="2"/>
  <c r="T203" i="2"/>
  <c r="T330" i="2" s="1"/>
  <c r="O31" i="17" s="1"/>
  <c r="P203" i="2"/>
  <c r="P330" i="2" s="1"/>
  <c r="K31" i="17" s="1"/>
  <c r="S207" i="2"/>
  <c r="O207" i="2"/>
  <c r="S211" i="2"/>
  <c r="N211" i="2"/>
  <c r="P225" i="2"/>
  <c r="P295" i="2" s="1"/>
  <c r="P41" i="11" s="1"/>
  <c r="T228" i="2"/>
  <c r="T298" i="2" s="1"/>
  <c r="T43" i="11" s="1"/>
  <c r="N228" i="2"/>
  <c r="N298" i="2" s="1"/>
  <c r="N43" i="11" s="1"/>
  <c r="M222" i="2"/>
  <c r="M292" i="2" s="1"/>
  <c r="P222" i="2"/>
  <c r="P292" i="2" s="1"/>
  <c r="P39" i="11" s="1"/>
  <c r="Q206" i="2"/>
  <c r="S206" i="2"/>
  <c r="Q208" i="2"/>
  <c r="M212" i="2"/>
  <c r="M206" i="2"/>
  <c r="M225" i="2"/>
  <c r="M295" i="2" s="1"/>
  <c r="M41" i="11" s="1"/>
  <c r="O210" i="2"/>
  <c r="P212" i="2"/>
  <c r="O208" i="2"/>
  <c r="N207" i="2"/>
  <c r="O225" i="2"/>
  <c r="O295" i="2" s="1"/>
  <c r="O41" i="11" s="1"/>
  <c r="R228" i="2"/>
  <c r="R298" i="2" s="1"/>
  <c r="R43" i="11" s="1"/>
  <c r="N222" i="2"/>
  <c r="N292" i="2" s="1"/>
  <c r="N39" i="11" s="1"/>
  <c r="P206" i="2"/>
  <c r="K74" i="14" l="1"/>
  <c r="L74" i="14" s="1"/>
  <c r="G17" i="17" s="1"/>
  <c r="N254" i="2"/>
  <c r="T260" i="2"/>
  <c r="T19" i="11" s="1"/>
  <c r="H64" i="17"/>
  <c r="H65" i="17" s="1"/>
  <c r="H71" i="17" s="1"/>
  <c r="E47" i="14"/>
  <c r="G130" i="17" s="1"/>
  <c r="E19" i="18"/>
  <c r="O309" i="2"/>
  <c r="N369" i="2"/>
  <c r="I34" i="17" s="1"/>
  <c r="I108" i="17" s="1"/>
  <c r="T251" i="2"/>
  <c r="T13" i="11" s="1"/>
  <c r="I109" i="17"/>
  <c r="M109" i="17"/>
  <c r="J109" i="17"/>
  <c r="N109" i="17"/>
  <c r="L109" i="17"/>
  <c r="K109" i="17"/>
  <c r="O109" i="17"/>
  <c r="G109" i="17"/>
  <c r="H109" i="17"/>
  <c r="G110" i="17"/>
  <c r="L78" i="14"/>
  <c r="G21" i="17" s="1"/>
  <c r="G60" i="17" s="1"/>
  <c r="M275" i="2"/>
  <c r="M29" i="11" s="1"/>
  <c r="M245" i="2"/>
  <c r="M299" i="2" s="1"/>
  <c r="M241" i="2"/>
  <c r="N237" i="2"/>
  <c r="N5" i="11" s="1"/>
  <c r="M257" i="2"/>
  <c r="M17" i="11" s="1"/>
  <c r="M15" i="11"/>
  <c r="M14" i="11"/>
  <c r="P14" i="11"/>
  <c r="M281" i="2"/>
  <c r="M33" i="11" s="1"/>
  <c r="N15" i="11"/>
  <c r="N14" i="11"/>
  <c r="T348" i="2"/>
  <c r="O29" i="17" s="1"/>
  <c r="O84" i="17" s="1"/>
  <c r="T51" i="11"/>
  <c r="M293" i="2"/>
  <c r="M39" i="11"/>
  <c r="M272" i="2"/>
  <c r="M27" i="11" s="1"/>
  <c r="M266" i="2"/>
  <c r="M23" i="11" s="1"/>
  <c r="R14" i="11"/>
  <c r="N213" i="2"/>
  <c r="N339" i="2" s="1"/>
  <c r="N352" i="2" s="1"/>
  <c r="R213" i="2"/>
  <c r="R339" i="2" s="1"/>
  <c r="R352" i="2" s="1"/>
  <c r="T213" i="2"/>
  <c r="T339" i="2" s="1"/>
  <c r="T352" i="2" s="1"/>
  <c r="P213" i="2"/>
  <c r="P339" i="2" s="1"/>
  <c r="P352" i="2" s="1"/>
  <c r="Q213" i="2"/>
  <c r="Q339" i="2" s="1"/>
  <c r="Q352" i="2" s="1"/>
  <c r="M213" i="2"/>
  <c r="M339" i="2" s="1"/>
  <c r="M352" i="2" s="1"/>
  <c r="S213" i="2"/>
  <c r="S339" i="2" s="1"/>
  <c r="S352" i="2" s="1"/>
  <c r="O213" i="2"/>
  <c r="O339" i="2" s="1"/>
  <c r="O352" i="2" s="1"/>
  <c r="N241" i="2" l="1"/>
  <c r="J80" i="14"/>
  <c r="K80" i="14" s="1"/>
  <c r="L80" i="14" s="1"/>
  <c r="G23" i="17" s="1"/>
  <c r="G102" i="17" s="1"/>
  <c r="H98" i="17" s="1"/>
  <c r="I64" i="17"/>
  <c r="J64" i="17" s="1"/>
  <c r="N266" i="2"/>
  <c r="N23" i="11" s="1"/>
  <c r="E48" i="14"/>
  <c r="E24" i="18" s="1"/>
  <c r="E23" i="18"/>
  <c r="O50" i="11"/>
  <c r="O307" i="2"/>
  <c r="N272" i="2"/>
  <c r="N27" i="11" s="1"/>
  <c r="N257" i="2"/>
  <c r="N17" i="11" s="1"/>
  <c r="H66" i="17"/>
  <c r="G112" i="17"/>
  <c r="H58" i="17"/>
  <c r="G116" i="17"/>
  <c r="M296" i="2"/>
  <c r="M42" i="11" s="1"/>
  <c r="O237" i="2"/>
  <c r="O5" i="11" s="1"/>
  <c r="N293" i="2"/>
  <c r="N367" i="2" s="1"/>
  <c r="I32" i="17" s="1"/>
  <c r="I106" i="17" s="1"/>
  <c r="N245" i="2"/>
  <c r="N296" i="2" s="1"/>
  <c r="N275" i="2"/>
  <c r="N29" i="11" s="1"/>
  <c r="M332" i="2"/>
  <c r="M316" i="2" s="1"/>
  <c r="H38" i="17" s="1"/>
  <c r="H47" i="17" s="1"/>
  <c r="H49" i="17" s="1"/>
  <c r="H91" i="17" s="1"/>
  <c r="H52" i="17" s="1"/>
  <c r="H53" i="17" s="1"/>
  <c r="M7" i="11"/>
  <c r="N332" i="2"/>
  <c r="N316" i="2" s="1"/>
  <c r="N7" i="11"/>
  <c r="M367" i="2"/>
  <c r="H32" i="17" s="1"/>
  <c r="H106" i="17" s="1"/>
  <c r="M40" i="11"/>
  <c r="N281" i="2"/>
  <c r="N33" i="11" s="1"/>
  <c r="M376" i="2"/>
  <c r="H36" i="17" s="1"/>
  <c r="H115" i="17" s="1"/>
  <c r="M44" i="11"/>
  <c r="M278" i="2"/>
  <c r="M9" i="11"/>
  <c r="O266" i="2"/>
  <c r="O23" i="11" s="1"/>
  <c r="O245" i="2"/>
  <c r="O9" i="11" s="1"/>
  <c r="I65" i="17" l="1"/>
  <c r="I71" i="17" s="1"/>
  <c r="O293" i="2"/>
  <c r="O272" i="2"/>
  <c r="O27" i="11" s="1"/>
  <c r="O281" i="2"/>
  <c r="O33" i="11" s="1"/>
  <c r="O241" i="2"/>
  <c r="O332" i="2" s="1"/>
  <c r="O316" i="2" s="1"/>
  <c r="O257" i="2"/>
  <c r="O17" i="11" s="1"/>
  <c r="G118" i="17"/>
  <c r="G124" i="17" s="1"/>
  <c r="K81" i="14"/>
  <c r="K83" i="14" s="1"/>
  <c r="P237" i="2"/>
  <c r="P5" i="11" s="1"/>
  <c r="O275" i="2"/>
  <c r="O29" i="11" s="1"/>
  <c r="M368" i="2"/>
  <c r="H33" i="17" s="1"/>
  <c r="H107" i="17" s="1"/>
  <c r="M301" i="2"/>
  <c r="M302" i="2" s="1"/>
  <c r="O49" i="11"/>
  <c r="O311" i="2"/>
  <c r="O335" i="2"/>
  <c r="J30" i="17" s="1"/>
  <c r="J70" i="17" s="1"/>
  <c r="N40" i="11"/>
  <c r="H110" i="17"/>
  <c r="H105" i="17"/>
  <c r="I55" i="17"/>
  <c r="I74" i="17" s="1"/>
  <c r="I89" i="17" s="1"/>
  <c r="I51" i="17"/>
  <c r="K64" i="17"/>
  <c r="H61" i="17"/>
  <c r="H73" i="17" s="1"/>
  <c r="N54" i="11"/>
  <c r="I38" i="17"/>
  <c r="I47" i="17" s="1"/>
  <c r="N299" i="2"/>
  <c r="N376" i="2" s="1"/>
  <c r="I36" i="17" s="1"/>
  <c r="I115" i="17" s="1"/>
  <c r="M31" i="11"/>
  <c r="M283" i="2"/>
  <c r="N278" i="2"/>
  <c r="N31" i="11" s="1"/>
  <c r="N9" i="11"/>
  <c r="O367" i="2"/>
  <c r="J32" i="17" s="1"/>
  <c r="J106" i="17" s="1"/>
  <c r="O40" i="11"/>
  <c r="N368" i="2"/>
  <c r="I33" i="17" s="1"/>
  <c r="I107" i="17" s="1"/>
  <c r="N42" i="11"/>
  <c r="M318" i="2"/>
  <c r="M54" i="11"/>
  <c r="O278" i="2"/>
  <c r="O296" i="2"/>
  <c r="O299" i="2"/>
  <c r="I66" i="17" l="1"/>
  <c r="J65" i="17" s="1"/>
  <c r="J71" i="17" s="1"/>
  <c r="M45" i="11"/>
  <c r="G119" i="17"/>
  <c r="G121" i="17" s="1"/>
  <c r="P281" i="2"/>
  <c r="P33" i="11" s="1"/>
  <c r="O7" i="11"/>
  <c r="P272" i="2"/>
  <c r="P27" i="11" s="1"/>
  <c r="P241" i="2"/>
  <c r="P332" i="2" s="1"/>
  <c r="P316" i="2" s="1"/>
  <c r="Q237" i="2"/>
  <c r="Q5" i="11" s="1"/>
  <c r="P257" i="2"/>
  <c r="P17" i="11" s="1"/>
  <c r="P245" i="2"/>
  <c r="P9" i="11" s="1"/>
  <c r="P275" i="2"/>
  <c r="P29" i="11" s="1"/>
  <c r="P266" i="2"/>
  <c r="P23" i="11" s="1"/>
  <c r="P293" i="2"/>
  <c r="P367" i="2" s="1"/>
  <c r="K32" i="17" s="1"/>
  <c r="K106" i="17" s="1"/>
  <c r="L81" i="14"/>
  <c r="G24" i="17" s="1"/>
  <c r="N301" i="2"/>
  <c r="N302" i="2" s="1"/>
  <c r="N44" i="11"/>
  <c r="O52" i="11"/>
  <c r="O312" i="2"/>
  <c r="H112" i="17"/>
  <c r="H88" i="17"/>
  <c r="I48" i="17"/>
  <c r="I49" i="17" s="1"/>
  <c r="I91" i="17" s="1"/>
  <c r="I52" i="17" s="1"/>
  <c r="I53" i="17" s="1"/>
  <c r="L64" i="17"/>
  <c r="O54" i="11"/>
  <c r="J38" i="17"/>
  <c r="J47" i="17" s="1"/>
  <c r="O31" i="11"/>
  <c r="M354" i="2"/>
  <c r="M321" i="2" s="1"/>
  <c r="M56" i="11"/>
  <c r="O376" i="2"/>
  <c r="J36" i="17" s="1"/>
  <c r="J115" i="17" s="1"/>
  <c r="O44" i="11"/>
  <c r="M34" i="11"/>
  <c r="M333" i="2"/>
  <c r="M334" i="2" s="1"/>
  <c r="M289" i="2"/>
  <c r="M38" i="11" s="1"/>
  <c r="M286" i="2"/>
  <c r="M36" i="11" s="1"/>
  <c r="M347" i="2"/>
  <c r="H28" i="17" s="1"/>
  <c r="H85" i="17" s="1"/>
  <c r="M46" i="11"/>
  <c r="N283" i="2"/>
  <c r="O368" i="2"/>
  <c r="J33" i="17" s="1"/>
  <c r="J107" i="17" s="1"/>
  <c r="O42" i="11"/>
  <c r="O301" i="2"/>
  <c r="P278" i="2"/>
  <c r="P31" i="11" s="1"/>
  <c r="Q275" i="2"/>
  <c r="Q29" i="11" s="1"/>
  <c r="I110" i="17" l="1"/>
  <c r="J66" i="17"/>
  <c r="K65" i="17" s="1"/>
  <c r="K71" i="17" s="1"/>
  <c r="P296" i="2"/>
  <c r="P299" i="2"/>
  <c r="Q281" i="2"/>
  <c r="Q33" i="11" s="1"/>
  <c r="P40" i="11"/>
  <c r="Q266" i="2"/>
  <c r="Q23" i="11" s="1"/>
  <c r="R237" i="2"/>
  <c r="R5" i="11" s="1"/>
  <c r="P7" i="11"/>
  <c r="Q241" i="2"/>
  <c r="Q332" i="2" s="1"/>
  <c r="Q316" i="2" s="1"/>
  <c r="Q257" i="2"/>
  <c r="Q17" i="11" s="1"/>
  <c r="Q245" i="2"/>
  <c r="Q9" i="11" s="1"/>
  <c r="Q272" i="2"/>
  <c r="Q27" i="11" s="1"/>
  <c r="Q293" i="2"/>
  <c r="Q40" i="11" s="1"/>
  <c r="N45" i="11"/>
  <c r="O254" i="2"/>
  <c r="O53" i="11"/>
  <c r="O74" i="11" s="1"/>
  <c r="O78" i="11" s="1"/>
  <c r="O369" i="2"/>
  <c r="J34" i="17" s="1"/>
  <c r="J108" i="17" s="1"/>
  <c r="P309" i="2"/>
  <c r="I105" i="17"/>
  <c r="J55" i="17"/>
  <c r="J74" i="17" s="1"/>
  <c r="J89" i="17" s="1"/>
  <c r="J51" i="17"/>
  <c r="J48" i="17" s="1"/>
  <c r="J49" i="17" s="1"/>
  <c r="J91" i="17" s="1"/>
  <c r="J52" i="17" s="1"/>
  <c r="J53" i="17" s="1"/>
  <c r="M64" i="17"/>
  <c r="P54" i="11"/>
  <c r="K38" i="17"/>
  <c r="K47" i="17" s="1"/>
  <c r="P368" i="2"/>
  <c r="K33" i="17" s="1"/>
  <c r="K107" i="17" s="1"/>
  <c r="P42" i="11"/>
  <c r="M322" i="2"/>
  <c r="M58" i="11"/>
  <c r="Q367" i="2"/>
  <c r="L32" i="17" s="1"/>
  <c r="L106" i="17" s="1"/>
  <c r="M336" i="2"/>
  <c r="M340" i="2" s="1"/>
  <c r="M341" i="2" s="1"/>
  <c r="M342" i="2" s="1"/>
  <c r="M361" i="2" s="1"/>
  <c r="M345" i="2"/>
  <c r="H27" i="17" s="1"/>
  <c r="H42" i="17" s="1"/>
  <c r="H69" i="17" s="1"/>
  <c r="P376" i="2"/>
  <c r="K36" i="17" s="1"/>
  <c r="K115" i="17" s="1"/>
  <c r="P44" i="11"/>
  <c r="O302" i="2"/>
  <c r="O45" i="11"/>
  <c r="N34" i="11"/>
  <c r="N286" i="2"/>
  <c r="N36" i="11" s="1"/>
  <c r="N289" i="2"/>
  <c r="N38" i="11" s="1"/>
  <c r="N333" i="2"/>
  <c r="N334" i="2" s="1"/>
  <c r="N347" i="2"/>
  <c r="I28" i="17" s="1"/>
  <c r="I85" i="17" s="1"/>
  <c r="N46" i="11"/>
  <c r="P301" i="2"/>
  <c r="R275" i="2"/>
  <c r="R29" i="11" s="1"/>
  <c r="J110" i="17" l="1"/>
  <c r="I112" i="17"/>
  <c r="R266" i="2"/>
  <c r="R23" i="11" s="1"/>
  <c r="R241" i="2"/>
  <c r="S237" i="2"/>
  <c r="S5" i="11" s="1"/>
  <c r="R293" i="2"/>
  <c r="R367" i="2" s="1"/>
  <c r="M32" i="17" s="1"/>
  <c r="M106" i="17" s="1"/>
  <c r="R281" i="2"/>
  <c r="R33" i="11" s="1"/>
  <c r="Q278" i="2"/>
  <c r="Q31" i="11" s="1"/>
  <c r="R257" i="2"/>
  <c r="R17" i="11" s="1"/>
  <c r="Q7" i="11"/>
  <c r="R245" i="2"/>
  <c r="R9" i="11" s="1"/>
  <c r="R272" i="2"/>
  <c r="R27" i="11" s="1"/>
  <c r="Q299" i="2"/>
  <c r="Q376" i="2" s="1"/>
  <c r="L36" i="17" s="1"/>
  <c r="L115" i="17" s="1"/>
  <c r="Q296" i="2"/>
  <c r="Q368" i="2" s="1"/>
  <c r="L33" i="17" s="1"/>
  <c r="L107" i="17" s="1"/>
  <c r="P307" i="2"/>
  <c r="P50" i="11"/>
  <c r="O15" i="11"/>
  <c r="O283" i="2"/>
  <c r="J105" i="17"/>
  <c r="K51" i="17"/>
  <c r="K48" i="17" s="1"/>
  <c r="K49" i="17" s="1"/>
  <c r="K91" i="17" s="1"/>
  <c r="K52" i="17" s="1"/>
  <c r="K53" i="17" s="1"/>
  <c r="K55" i="17"/>
  <c r="K74" i="17" s="1"/>
  <c r="K89" i="17" s="1"/>
  <c r="K66" i="17"/>
  <c r="N64" i="17"/>
  <c r="H82" i="17"/>
  <c r="H125" i="17" s="1"/>
  <c r="H128" i="17" s="1"/>
  <c r="H72" i="17"/>
  <c r="Q54" i="11"/>
  <c r="L38" i="17"/>
  <c r="L47" i="17" s="1"/>
  <c r="R332" i="2"/>
  <c r="R316" i="2" s="1"/>
  <c r="R7" i="11"/>
  <c r="M346" i="2"/>
  <c r="M349" i="2" s="1"/>
  <c r="M353" i="2" s="1"/>
  <c r="M355" i="2" s="1"/>
  <c r="M356" i="2" s="1"/>
  <c r="M362" i="2" s="1"/>
  <c r="M363" i="2" s="1"/>
  <c r="M379" i="2" s="1"/>
  <c r="O347" i="2"/>
  <c r="J28" i="17" s="1"/>
  <c r="J85" i="17" s="1"/>
  <c r="O46" i="11"/>
  <c r="P302" i="2"/>
  <c r="P45" i="11"/>
  <c r="N336" i="2"/>
  <c r="N340" i="2" s="1"/>
  <c r="N341" i="2" s="1"/>
  <c r="N346" i="2" s="1"/>
  <c r="N345" i="2"/>
  <c r="I27" i="17" s="1"/>
  <c r="I42" i="17" s="1"/>
  <c r="I69" i="17" s="1"/>
  <c r="M59" i="11"/>
  <c r="N320" i="2"/>
  <c r="M366" i="2"/>
  <c r="M371" i="2" s="1"/>
  <c r="R278" i="2"/>
  <c r="R296" i="2"/>
  <c r="S275" i="2"/>
  <c r="S29" i="11" s="1"/>
  <c r="S266" i="2"/>
  <c r="S23" i="11" s="1"/>
  <c r="T237" i="2"/>
  <c r="T5" i="11" s="1"/>
  <c r="S241" i="2"/>
  <c r="J112" i="17" l="1"/>
  <c r="R40" i="11"/>
  <c r="S281" i="2"/>
  <c r="S33" i="11" s="1"/>
  <c r="S293" i="2"/>
  <c r="Q42" i="11"/>
  <c r="S245" i="2"/>
  <c r="S9" i="11" s="1"/>
  <c r="S272" i="2"/>
  <c r="S27" i="11" s="1"/>
  <c r="S257" i="2"/>
  <c r="S17" i="11" s="1"/>
  <c r="Q301" i="2"/>
  <c r="Q302" i="2" s="1"/>
  <c r="Q44" i="11"/>
  <c r="R299" i="2"/>
  <c r="R376" i="2" s="1"/>
  <c r="M36" i="17" s="1"/>
  <c r="M115" i="17" s="1"/>
  <c r="O34" i="11"/>
  <c r="O333" i="2"/>
  <c r="O334" i="2" s="1"/>
  <c r="O286" i="2"/>
  <c r="O36" i="11" s="1"/>
  <c r="O289" i="2"/>
  <c r="O38" i="11" s="1"/>
  <c r="P49" i="11"/>
  <c r="P311" i="2"/>
  <c r="P335" i="2"/>
  <c r="K30" i="17" s="1"/>
  <c r="K70" i="17" s="1"/>
  <c r="H75" i="17"/>
  <c r="H76" i="17" s="1"/>
  <c r="H83" i="17" s="1"/>
  <c r="H126" i="17"/>
  <c r="L51" i="17"/>
  <c r="K105" i="17"/>
  <c r="L55" i="17"/>
  <c r="L74" i="17" s="1"/>
  <c r="L89" i="17" s="1"/>
  <c r="I72" i="17"/>
  <c r="I82" i="17"/>
  <c r="O64" i="17"/>
  <c r="K110" i="17"/>
  <c r="L65" i="17"/>
  <c r="H86" i="17"/>
  <c r="H101" i="17" s="1"/>
  <c r="R54" i="11"/>
  <c r="M38" i="17"/>
  <c r="M47" i="17" s="1"/>
  <c r="N349" i="2"/>
  <c r="N353" i="2" s="1"/>
  <c r="S332" i="2"/>
  <c r="S316" i="2" s="1"/>
  <c r="S7" i="11"/>
  <c r="N360" i="2"/>
  <c r="R368" i="2"/>
  <c r="M33" i="17" s="1"/>
  <c r="M107" i="17" s="1"/>
  <c r="R42" i="11"/>
  <c r="N342" i="2"/>
  <c r="N361" i="2" s="1"/>
  <c r="M373" i="2"/>
  <c r="M372" i="2"/>
  <c r="P347" i="2"/>
  <c r="K28" i="17" s="1"/>
  <c r="K85" i="17" s="1"/>
  <c r="P46" i="11"/>
  <c r="R31" i="11"/>
  <c r="S367" i="2"/>
  <c r="N32" i="17" s="1"/>
  <c r="N106" i="17" s="1"/>
  <c r="S40" i="11"/>
  <c r="N318" i="2"/>
  <c r="N57" i="11"/>
  <c r="M380" i="2"/>
  <c r="M382" i="2" s="1"/>
  <c r="M383" i="2" s="1"/>
  <c r="M387" i="2"/>
  <c r="M386" i="2"/>
  <c r="T293" i="2"/>
  <c r="T275" i="2"/>
  <c r="T29" i="11" s="1"/>
  <c r="T266" i="2"/>
  <c r="T23" i="11" s="1"/>
  <c r="T257" i="2"/>
  <c r="T17" i="11" s="1"/>
  <c r="T281" i="2"/>
  <c r="T33" i="11" s="1"/>
  <c r="T272" i="2"/>
  <c r="T27" i="11" s="1"/>
  <c r="T245" i="2"/>
  <c r="T9" i="11" s="1"/>
  <c r="T241" i="2"/>
  <c r="S278" i="2" l="1"/>
  <c r="S31" i="11" s="1"/>
  <c r="S299" i="2"/>
  <c r="S376" i="2" s="1"/>
  <c r="N36" i="17" s="1"/>
  <c r="N115" i="17" s="1"/>
  <c r="Q45" i="11"/>
  <c r="S296" i="2"/>
  <c r="S368" i="2" s="1"/>
  <c r="N33" i="17" s="1"/>
  <c r="N107" i="17" s="1"/>
  <c r="R301" i="2"/>
  <c r="R302" i="2" s="1"/>
  <c r="R44" i="11"/>
  <c r="P312" i="2"/>
  <c r="P52" i="11"/>
  <c r="O336" i="2"/>
  <c r="O340" i="2" s="1"/>
  <c r="O341" i="2" s="1"/>
  <c r="O345" i="2"/>
  <c r="J27" i="17" s="1"/>
  <c r="J42" i="17" s="1"/>
  <c r="J69" i="17" s="1"/>
  <c r="L48" i="17"/>
  <c r="L49" i="17" s="1"/>
  <c r="L91" i="17" s="1"/>
  <c r="L52" i="17" s="1"/>
  <c r="L53" i="17" s="1"/>
  <c r="H87" i="17"/>
  <c r="H90" i="17" s="1"/>
  <c r="H92" i="17" s="1"/>
  <c r="L66" i="17"/>
  <c r="L71" i="17"/>
  <c r="I86" i="17"/>
  <c r="I101" i="17" s="1"/>
  <c r="H77" i="17"/>
  <c r="H99" i="17" s="1"/>
  <c r="S54" i="11"/>
  <c r="N38" i="17"/>
  <c r="N47" i="17" s="1"/>
  <c r="T367" i="2"/>
  <c r="O32" i="17" s="1"/>
  <c r="O106" i="17" s="1"/>
  <c r="T40" i="11"/>
  <c r="Q347" i="2"/>
  <c r="L28" i="17" s="1"/>
  <c r="L85" i="17" s="1"/>
  <c r="Q46" i="11"/>
  <c r="T332" i="2"/>
  <c r="T316" i="2" s="1"/>
  <c r="T7" i="11"/>
  <c r="S44" i="11"/>
  <c r="N354" i="2"/>
  <c r="N56" i="11"/>
  <c r="T278" i="2"/>
  <c r="T299" i="2"/>
  <c r="T296" i="2"/>
  <c r="S301" i="2" l="1"/>
  <c r="S42" i="11"/>
  <c r="R45" i="11"/>
  <c r="O342" i="2"/>
  <c r="O361" i="2" s="1"/>
  <c r="O346" i="2"/>
  <c r="O349" i="2" s="1"/>
  <c r="O353" i="2" s="1"/>
  <c r="J82" i="17"/>
  <c r="J86" i="17" s="1"/>
  <c r="J101" i="17" s="1"/>
  <c r="J72" i="17"/>
  <c r="P254" i="2"/>
  <c r="P369" i="2"/>
  <c r="K34" i="17" s="1"/>
  <c r="K108" i="17" s="1"/>
  <c r="K112" i="17" s="1"/>
  <c r="P53" i="11"/>
  <c r="P74" i="11" s="1"/>
  <c r="P78" i="11" s="1"/>
  <c r="Q309" i="2"/>
  <c r="M55" i="17"/>
  <c r="M74" i="17" s="1"/>
  <c r="M89" i="17" s="1"/>
  <c r="L105" i="17"/>
  <c r="M51" i="17"/>
  <c r="L110" i="17"/>
  <c r="M65" i="17"/>
  <c r="T54" i="11"/>
  <c r="O38" i="17"/>
  <c r="O47" i="17" s="1"/>
  <c r="T368" i="2"/>
  <c r="O33" i="17" s="1"/>
  <c r="O107" i="17" s="1"/>
  <c r="T42" i="11"/>
  <c r="R347" i="2"/>
  <c r="M28" i="17" s="1"/>
  <c r="M85" i="17" s="1"/>
  <c r="R46" i="11"/>
  <c r="T376" i="2"/>
  <c r="O36" i="17" s="1"/>
  <c r="O115" i="17" s="1"/>
  <c r="T44" i="11"/>
  <c r="N321" i="2"/>
  <c r="N355" i="2"/>
  <c r="N356" i="2" s="1"/>
  <c r="N362" i="2" s="1"/>
  <c r="N363" i="2" s="1"/>
  <c r="T31" i="11"/>
  <c r="S302" i="2"/>
  <c r="S45" i="11"/>
  <c r="T301" i="2"/>
  <c r="Q307" i="2" l="1"/>
  <c r="Q50" i="11"/>
  <c r="P15" i="11"/>
  <c r="P283" i="2"/>
  <c r="M48" i="17"/>
  <c r="M49" i="17" s="1"/>
  <c r="M91" i="17" s="1"/>
  <c r="M52" i="17" s="1"/>
  <c r="M53" i="17" s="1"/>
  <c r="M66" i="17"/>
  <c r="M71" i="17"/>
  <c r="N322" i="2"/>
  <c r="N58" i="11"/>
  <c r="T302" i="2"/>
  <c r="T45" i="11"/>
  <c r="S347" i="2"/>
  <c r="N28" i="17" s="1"/>
  <c r="N85" i="17" s="1"/>
  <c r="S46" i="11"/>
  <c r="N379" i="2"/>
  <c r="O360" i="2"/>
  <c r="P333" i="2" l="1"/>
  <c r="P334" i="2" s="1"/>
  <c r="P289" i="2"/>
  <c r="P38" i="11" s="1"/>
  <c r="P34" i="11"/>
  <c r="P286" i="2"/>
  <c r="P36" i="11" s="1"/>
  <c r="Q49" i="11"/>
  <c r="Q311" i="2"/>
  <c r="Q335" i="2"/>
  <c r="L30" i="17" s="1"/>
  <c r="L70" i="17" s="1"/>
  <c r="N51" i="17"/>
  <c r="M105" i="17"/>
  <c r="N55" i="17"/>
  <c r="N74" i="17" s="1"/>
  <c r="N89" i="17" s="1"/>
  <c r="M110" i="17"/>
  <c r="N65" i="17"/>
  <c r="N71" i="17" s="1"/>
  <c r="T347" i="2"/>
  <c r="O28" i="17" s="1"/>
  <c r="O85" i="17" s="1"/>
  <c r="T46" i="11"/>
  <c r="N386" i="2"/>
  <c r="N380" i="2"/>
  <c r="N59" i="11"/>
  <c r="N366" i="2"/>
  <c r="N371" i="2" s="1"/>
  <c r="O320" i="2"/>
  <c r="Q312" i="2" l="1"/>
  <c r="Q52" i="11"/>
  <c r="P345" i="2"/>
  <c r="K27" i="17" s="1"/>
  <c r="K42" i="17" s="1"/>
  <c r="K69" i="17" s="1"/>
  <c r="P336" i="2"/>
  <c r="P340" i="2" s="1"/>
  <c r="N48" i="17"/>
  <c r="N49" i="17" s="1"/>
  <c r="N91" i="17" s="1"/>
  <c r="N52" i="17" s="1"/>
  <c r="N53" i="17" s="1"/>
  <c r="N66" i="17"/>
  <c r="N387" i="2"/>
  <c r="N373" i="2"/>
  <c r="N372" i="2"/>
  <c r="N382" i="2"/>
  <c r="N383" i="2" s="1"/>
  <c r="O318" i="2"/>
  <c r="O57" i="11"/>
  <c r="K82" i="17" l="1"/>
  <c r="K86" i="17" s="1"/>
  <c r="K101" i="17" s="1"/>
  <c r="K72" i="17"/>
  <c r="P341" i="2"/>
  <c r="P346" i="2" s="1"/>
  <c r="P349" i="2" s="1"/>
  <c r="P353" i="2" s="1"/>
  <c r="Q254" i="2"/>
  <c r="Q369" i="2"/>
  <c r="L34" i="17" s="1"/>
  <c r="L108" i="17" s="1"/>
  <c r="L112" i="17" s="1"/>
  <c r="Q53" i="11"/>
  <c r="Q74" i="11" s="1"/>
  <c r="Q78" i="11" s="1"/>
  <c r="R309" i="2"/>
  <c r="O51" i="17"/>
  <c r="N105" i="17"/>
  <c r="O55" i="17"/>
  <c r="O74" i="17" s="1"/>
  <c r="O89" i="17" s="1"/>
  <c r="N110" i="17"/>
  <c r="O65" i="17"/>
  <c r="O354" i="2"/>
  <c r="O56" i="11"/>
  <c r="P342" i="2" l="1"/>
  <c r="P361" i="2" s="1"/>
  <c r="R50" i="11"/>
  <c r="R307" i="2"/>
  <c r="Q15" i="11"/>
  <c r="Q283" i="2"/>
  <c r="O48" i="17"/>
  <c r="O49" i="17" s="1"/>
  <c r="O91" i="17" s="1"/>
  <c r="O52" i="17" s="1"/>
  <c r="O53" i="17" s="1"/>
  <c r="O105" i="17" s="1"/>
  <c r="O66" i="17"/>
  <c r="O110" i="17" s="1"/>
  <c r="O71" i="17"/>
  <c r="O321" i="2"/>
  <c r="O355" i="2"/>
  <c r="O356" i="2" s="1"/>
  <c r="O362" i="2" s="1"/>
  <c r="O363" i="2" s="1"/>
  <c r="R311" i="2" l="1"/>
  <c r="R49" i="11"/>
  <c r="R335" i="2"/>
  <c r="M30" i="17" s="1"/>
  <c r="M70" i="17" s="1"/>
  <c r="Q289" i="2"/>
  <c r="Q38" i="11" s="1"/>
  <c r="Q286" i="2"/>
  <c r="Q36" i="11" s="1"/>
  <c r="Q34" i="11"/>
  <c r="Q333" i="2"/>
  <c r="Q334" i="2" s="1"/>
  <c r="P360" i="2"/>
  <c r="O379" i="2"/>
  <c r="O322" i="2"/>
  <c r="O58" i="11"/>
  <c r="Q336" i="2" l="1"/>
  <c r="Q340" i="2" s="1"/>
  <c r="Q345" i="2"/>
  <c r="L27" i="17" s="1"/>
  <c r="L42" i="17" s="1"/>
  <c r="L69" i="17" s="1"/>
  <c r="R312" i="2"/>
  <c r="R52" i="11"/>
  <c r="O59" i="11"/>
  <c r="P320" i="2"/>
  <c r="O366" i="2"/>
  <c r="O371" i="2" s="1"/>
  <c r="O386" i="2"/>
  <c r="O380" i="2"/>
  <c r="R254" i="2" l="1"/>
  <c r="S309" i="2"/>
  <c r="R53" i="11"/>
  <c r="R74" i="11" s="1"/>
  <c r="R78" i="11" s="1"/>
  <c r="R369" i="2"/>
  <c r="M34" i="17" s="1"/>
  <c r="M108" i="17" s="1"/>
  <c r="M112" i="17" s="1"/>
  <c r="L72" i="17"/>
  <c r="L82" i="17"/>
  <c r="L86" i="17" s="1"/>
  <c r="L101" i="17" s="1"/>
  <c r="Q341" i="2"/>
  <c r="Q346" i="2" s="1"/>
  <c r="Q349" i="2" s="1"/>
  <c r="Q353" i="2" s="1"/>
  <c r="O382" i="2"/>
  <c r="O383" i="2" s="1"/>
  <c r="O387" i="2"/>
  <c r="O373" i="2"/>
  <c r="O372" i="2"/>
  <c r="P318" i="2"/>
  <c r="P57" i="11"/>
  <c r="Q342" i="2" l="1"/>
  <c r="Q361" i="2" s="1"/>
  <c r="S307" i="2"/>
  <c r="S50" i="11"/>
  <c r="R15" i="11"/>
  <c r="R283" i="2"/>
  <c r="P354" i="2"/>
  <c r="P56" i="11"/>
  <c r="R34" i="11" l="1"/>
  <c r="R286" i="2"/>
  <c r="R36" i="11" s="1"/>
  <c r="R333" i="2"/>
  <c r="R334" i="2" s="1"/>
  <c r="R289" i="2"/>
  <c r="R38" i="11" s="1"/>
  <c r="S311" i="2"/>
  <c r="S49" i="11"/>
  <c r="S335" i="2"/>
  <c r="N30" i="17" s="1"/>
  <c r="N70" i="17" s="1"/>
  <c r="P321" i="2"/>
  <c r="P355" i="2"/>
  <c r="P356" i="2" s="1"/>
  <c r="P362" i="2" s="1"/>
  <c r="P363" i="2" s="1"/>
  <c r="R345" i="2" l="1"/>
  <c r="M27" i="17" s="1"/>
  <c r="M42" i="17" s="1"/>
  <c r="M69" i="17" s="1"/>
  <c r="R336" i="2"/>
  <c r="R340" i="2" s="1"/>
  <c r="S312" i="2"/>
  <c r="S52" i="11"/>
  <c r="Q360" i="2"/>
  <c r="P379" i="2"/>
  <c r="P322" i="2"/>
  <c r="P58" i="11"/>
  <c r="S254" i="2" l="1"/>
  <c r="T309" i="2"/>
  <c r="S53" i="11"/>
  <c r="S74" i="11" s="1"/>
  <c r="S78" i="11" s="1"/>
  <c r="S369" i="2"/>
  <c r="N34" i="17" s="1"/>
  <c r="N108" i="17" s="1"/>
  <c r="N112" i="17" s="1"/>
  <c r="R341" i="2"/>
  <c r="R346" i="2" s="1"/>
  <c r="R349" i="2" s="1"/>
  <c r="R353" i="2" s="1"/>
  <c r="M72" i="17"/>
  <c r="M82" i="17"/>
  <c r="M86" i="17" s="1"/>
  <c r="M101" i="17" s="1"/>
  <c r="P380" i="2"/>
  <c r="P386" i="2"/>
  <c r="P59" i="11"/>
  <c r="Q320" i="2"/>
  <c r="P366" i="2"/>
  <c r="P371" i="2" s="1"/>
  <c r="R342" i="2" l="1"/>
  <c r="R361" i="2" s="1"/>
  <c r="T50" i="11"/>
  <c r="T307" i="2"/>
  <c r="S15" i="11"/>
  <c r="S283" i="2"/>
  <c r="P382" i="2"/>
  <c r="P383" i="2" s="1"/>
  <c r="P372" i="2"/>
  <c r="P373" i="2"/>
  <c r="Q318" i="2"/>
  <c r="Q57" i="11"/>
  <c r="P387" i="2"/>
  <c r="T311" i="2" l="1"/>
  <c r="T49" i="11"/>
  <c r="T335" i="2"/>
  <c r="O30" i="17" s="1"/>
  <c r="O70" i="17" s="1"/>
  <c r="S286" i="2"/>
  <c r="S36" i="11" s="1"/>
  <c r="S333" i="2"/>
  <c r="S334" i="2" s="1"/>
  <c r="S289" i="2"/>
  <c r="S38" i="11" s="1"/>
  <c r="S34" i="11"/>
  <c r="Q354" i="2"/>
  <c r="Q56" i="11"/>
  <c r="S345" i="2" l="1"/>
  <c r="N27" i="17" s="1"/>
  <c r="N42" i="17" s="1"/>
  <c r="N69" i="17" s="1"/>
  <c r="S336" i="2"/>
  <c r="S340" i="2" s="1"/>
  <c r="T312" i="2"/>
  <c r="T52" i="11"/>
  <c r="Q321" i="2"/>
  <c r="Q355" i="2"/>
  <c r="Q356" i="2" s="1"/>
  <c r="Q362" i="2" s="1"/>
  <c r="Q363" i="2" s="1"/>
  <c r="T254" i="2" l="1"/>
  <c r="T369" i="2"/>
  <c r="O34" i="17" s="1"/>
  <c r="O108" i="17" s="1"/>
  <c r="O112" i="17" s="1"/>
  <c r="T53" i="11"/>
  <c r="T74" i="11" s="1"/>
  <c r="T78" i="11" s="1"/>
  <c r="S341" i="2"/>
  <c r="S346" i="2" s="1"/>
  <c r="S349" i="2" s="1"/>
  <c r="S353" i="2" s="1"/>
  <c r="N82" i="17"/>
  <c r="N86" i="17" s="1"/>
  <c r="N101" i="17" s="1"/>
  <c r="N72" i="17"/>
  <c r="Q322" i="2"/>
  <c r="Q58" i="11"/>
  <c r="R360" i="2"/>
  <c r="Q379" i="2"/>
  <c r="S342" i="2" l="1"/>
  <c r="S361" i="2" s="1"/>
  <c r="T15" i="11"/>
  <c r="T283" i="2"/>
  <c r="Q380" i="2"/>
  <c r="Q386" i="2"/>
  <c r="Q59" i="11"/>
  <c r="Q366" i="2"/>
  <c r="Q371" i="2" s="1"/>
  <c r="R320" i="2"/>
  <c r="T34" i="11" l="1"/>
  <c r="T286" i="2"/>
  <c r="T36" i="11" s="1"/>
  <c r="T333" i="2"/>
  <c r="T334" i="2" s="1"/>
  <c r="T289" i="2"/>
  <c r="T38" i="11" s="1"/>
  <c r="Q373" i="2"/>
  <c r="Q372" i="2"/>
  <c r="Q387" i="2"/>
  <c r="R318" i="2"/>
  <c r="R57" i="11"/>
  <c r="Q382" i="2"/>
  <c r="Q383" i="2" s="1"/>
  <c r="T336" i="2" l="1"/>
  <c r="T340" i="2" s="1"/>
  <c r="T345" i="2"/>
  <c r="O27" i="17" s="1"/>
  <c r="O42" i="17" s="1"/>
  <c r="O69" i="17" s="1"/>
  <c r="R354" i="2"/>
  <c r="R56" i="11"/>
  <c r="O72" i="17" l="1"/>
  <c r="O82" i="17"/>
  <c r="O86" i="17" s="1"/>
  <c r="O101" i="17" s="1"/>
  <c r="T341" i="2"/>
  <c r="T346" i="2" s="1"/>
  <c r="T349" i="2" s="1"/>
  <c r="T353" i="2" s="1"/>
  <c r="R321" i="2"/>
  <c r="R355" i="2"/>
  <c r="R356" i="2" s="1"/>
  <c r="R362" i="2" s="1"/>
  <c r="R363" i="2" s="1"/>
  <c r="T342" i="2" l="1"/>
  <c r="T361" i="2" s="1"/>
  <c r="R379" i="2"/>
  <c r="S360" i="2"/>
  <c r="R322" i="2"/>
  <c r="R58" i="11"/>
  <c r="R59" i="11" l="1"/>
  <c r="S320" i="2"/>
  <c r="R366" i="2"/>
  <c r="R371" i="2" s="1"/>
  <c r="R380" i="2"/>
  <c r="R386" i="2"/>
  <c r="R382" i="2" l="1"/>
  <c r="R383" i="2" s="1"/>
  <c r="R387" i="2"/>
  <c r="R372" i="2"/>
  <c r="R373" i="2"/>
  <c r="S318" i="2"/>
  <c r="S57" i="11"/>
  <c r="S354" i="2" l="1"/>
  <c r="S56" i="11"/>
  <c r="S321" i="2" l="1"/>
  <c r="S355" i="2"/>
  <c r="S356" i="2" s="1"/>
  <c r="S362" i="2" s="1"/>
  <c r="S363" i="2" s="1"/>
  <c r="S379" i="2" l="1"/>
  <c r="T360" i="2"/>
  <c r="S322" i="2"/>
  <c r="S58" i="11"/>
  <c r="S59" i="11" l="1"/>
  <c r="S366" i="2"/>
  <c r="S371" i="2" s="1"/>
  <c r="T320" i="2"/>
  <c r="S386" i="2"/>
  <c r="S380" i="2"/>
  <c r="S387" i="2" l="1"/>
  <c r="S382" i="2"/>
  <c r="S383" i="2" s="1"/>
  <c r="T318" i="2"/>
  <c r="T57" i="11"/>
  <c r="S373" i="2"/>
  <c r="S372" i="2"/>
  <c r="T354" i="2" l="1"/>
  <c r="T56" i="11"/>
  <c r="T321" i="2" l="1"/>
  <c r="T355" i="2"/>
  <c r="T356" i="2" s="1"/>
  <c r="T362" i="2" s="1"/>
  <c r="T363" i="2" s="1"/>
  <c r="T379" i="2" s="1"/>
  <c r="T380" i="2" l="1"/>
  <c r="T386" i="2"/>
  <c r="T322" i="2"/>
  <c r="T58" i="11"/>
  <c r="T366" i="2" l="1"/>
  <c r="T59" i="11"/>
  <c r="T371" i="2" l="1"/>
  <c r="T387" i="2"/>
  <c r="T373" i="2" l="1"/>
  <c r="T372" i="2"/>
  <c r="T382" i="2"/>
  <c r="T383" i="2" s="1"/>
  <c r="G383" i="2" s="1"/>
  <c r="H80" i="17"/>
  <c r="H93" i="17" s="1"/>
  <c r="H94" i="17" s="1"/>
  <c r="H100" i="17" l="1"/>
  <c r="H102" i="17" s="1"/>
  <c r="I98" i="17" s="1"/>
  <c r="H130" i="17"/>
  <c r="H59" i="17"/>
  <c r="H60" i="17" s="1"/>
  <c r="H118" i="17" l="1"/>
  <c r="H116" i="17"/>
  <c r="I125" i="17" s="1"/>
  <c r="I128" i="17" s="1"/>
  <c r="I58" i="17"/>
  <c r="I61" i="17" l="1"/>
  <c r="I73" i="17" s="1"/>
  <c r="H124" i="17"/>
  <c r="H119" i="17"/>
  <c r="H121" i="17" s="1"/>
  <c r="I126" i="17" l="1"/>
  <c r="I75" i="17"/>
  <c r="I88" i="17"/>
  <c r="I76" i="17" l="1"/>
  <c r="I83" i="17" s="1"/>
  <c r="I87" i="17" s="1"/>
  <c r="I90" i="17" s="1"/>
  <c r="I92" i="17" s="1"/>
  <c r="I77" i="17" l="1"/>
  <c r="I99" i="17" s="1"/>
  <c r="I80" i="17"/>
  <c r="I93" i="17" s="1"/>
  <c r="I94" i="17" l="1"/>
  <c r="I59" i="17"/>
  <c r="I60" i="17" s="1"/>
  <c r="I100" i="17" l="1"/>
  <c r="I102" i="17" s="1"/>
  <c r="I118" i="17" s="1"/>
  <c r="I130" i="17"/>
  <c r="I116" i="17"/>
  <c r="J58" i="17"/>
  <c r="J98" i="17" l="1"/>
  <c r="J61" i="17"/>
  <c r="J73" i="17" s="1"/>
  <c r="J125" i="17"/>
  <c r="I124" i="17"/>
  <c r="I119" i="17"/>
  <c r="I121" i="17" s="1"/>
  <c r="J128" i="17" l="1"/>
  <c r="J80" i="17" s="1"/>
  <c r="J88" i="17"/>
  <c r="J75" i="17"/>
  <c r="J126" i="17"/>
  <c r="J76" i="17" l="1"/>
  <c r="J83" i="17" s="1"/>
  <c r="J87" i="17" s="1"/>
  <c r="J90" i="17" s="1"/>
  <c r="J92" i="17" s="1"/>
  <c r="J93" i="17" l="1"/>
  <c r="J59" i="17" s="1"/>
  <c r="J60" i="17" s="1"/>
  <c r="J77" i="17"/>
  <c r="J99" i="17" s="1"/>
  <c r="K58" i="17" l="1"/>
  <c r="J116" i="17"/>
  <c r="J94" i="17"/>
  <c r="J100" i="17" l="1"/>
  <c r="J102" i="17" s="1"/>
  <c r="J118" i="17" s="1"/>
  <c r="J124" i="17" s="1"/>
  <c r="J130" i="17"/>
  <c r="K125" i="17"/>
  <c r="K61" i="17"/>
  <c r="K73" i="17" s="1"/>
  <c r="K98" i="17" l="1"/>
  <c r="J119" i="17"/>
  <c r="J121" i="17" s="1"/>
  <c r="K128" i="17"/>
  <c r="K80" i="17" s="1"/>
  <c r="K75" i="17"/>
  <c r="K126" i="17"/>
  <c r="K88" i="17"/>
  <c r="K76" i="17" l="1"/>
  <c r="K83" i="17" s="1"/>
  <c r="K87" i="17" s="1"/>
  <c r="K90" i="17" s="1"/>
  <c r="K92" i="17" s="1"/>
  <c r="K93" i="17" l="1"/>
  <c r="K59" i="17" s="1"/>
  <c r="K60" i="17" s="1"/>
  <c r="K77" i="17"/>
  <c r="K99" i="17" s="1"/>
  <c r="K94" i="17" l="1"/>
  <c r="K116" i="17"/>
  <c r="L58" i="17"/>
  <c r="K100" i="17" l="1"/>
  <c r="K102" i="17" s="1"/>
  <c r="K118" i="17" s="1"/>
  <c r="K130" i="17"/>
  <c r="L61" i="17"/>
  <c r="L73" i="17" s="1"/>
  <c r="L125" i="17"/>
  <c r="K119" i="17" l="1"/>
  <c r="K121" i="17" s="1"/>
  <c r="K124" i="17"/>
  <c r="L98" i="17"/>
  <c r="L128" i="17"/>
  <c r="L80" i="17" s="1"/>
  <c r="L88" i="17"/>
  <c r="L126" i="17"/>
  <c r="L75" i="17"/>
  <c r="L76" i="17" l="1"/>
  <c r="L83" i="17" s="1"/>
  <c r="L87" i="17" s="1"/>
  <c r="L90" i="17" s="1"/>
  <c r="L92" i="17" s="1"/>
  <c r="L93" i="17" l="1"/>
  <c r="L59" i="17" s="1"/>
  <c r="L60" i="17" s="1"/>
  <c r="L77" i="17"/>
  <c r="L99" i="17" s="1"/>
  <c r="L94" i="17" l="1"/>
  <c r="M58" i="17"/>
  <c r="L116" i="17"/>
  <c r="L100" i="17" l="1"/>
  <c r="L102" i="17" s="1"/>
  <c r="L118" i="17" s="1"/>
  <c r="L130" i="17"/>
  <c r="M125" i="17"/>
  <c r="M61" i="17"/>
  <c r="M73" i="17" s="1"/>
  <c r="M98" i="17" l="1"/>
  <c r="L119" i="17"/>
  <c r="L121" i="17" s="1"/>
  <c r="L124" i="17"/>
  <c r="M128" i="17"/>
  <c r="M80" i="17" s="1"/>
  <c r="M88" i="17"/>
  <c r="M75" i="17"/>
  <c r="M126" i="17"/>
  <c r="M76" i="17" l="1"/>
  <c r="M83" i="17" s="1"/>
  <c r="M87" i="17" s="1"/>
  <c r="M90" i="17" s="1"/>
  <c r="M92" i="17" s="1"/>
  <c r="M93" i="17" l="1"/>
  <c r="M59" i="17" s="1"/>
  <c r="M60" i="17" s="1"/>
  <c r="M77" i="17"/>
  <c r="M99" i="17" s="1"/>
  <c r="M94" i="17" l="1"/>
  <c r="N58" i="17"/>
  <c r="M116" i="17"/>
  <c r="M100" i="17" l="1"/>
  <c r="M102" i="17" s="1"/>
  <c r="M118" i="17" s="1"/>
  <c r="M130" i="17"/>
  <c r="N125" i="17"/>
  <c r="N61" i="17"/>
  <c r="N73" i="17" s="1"/>
  <c r="M124" i="17" l="1"/>
  <c r="M119" i="17"/>
  <c r="M121" i="17" s="1"/>
  <c r="N98" i="17"/>
  <c r="N128" i="17"/>
  <c r="N80" i="17" s="1"/>
  <c r="N75" i="17"/>
  <c r="N126" i="17"/>
  <c r="N88" i="17"/>
  <c r="N76" i="17" l="1"/>
  <c r="N83" i="17" s="1"/>
  <c r="N87" i="17" s="1"/>
  <c r="N90" i="17" s="1"/>
  <c r="N92" i="17" s="1"/>
  <c r="N77" i="17" l="1"/>
  <c r="N99" i="17" s="1"/>
  <c r="N93" i="17"/>
  <c r="N59" i="17" s="1"/>
  <c r="N60" i="17" s="1"/>
  <c r="N94" i="17" l="1"/>
  <c r="O58" i="17"/>
  <c r="N116" i="17"/>
  <c r="N100" i="17" l="1"/>
  <c r="N102" i="17" s="1"/>
  <c r="O98" i="17" s="1"/>
  <c r="N130" i="17"/>
  <c r="O125" i="17"/>
  <c r="O61" i="17"/>
  <c r="O73" i="17" s="1"/>
  <c r="N118" i="17" l="1"/>
  <c r="N124" i="17" s="1"/>
  <c r="O128" i="17"/>
  <c r="O80" i="17" s="1"/>
  <c r="O88" i="17"/>
  <c r="O75" i="17"/>
  <c r="O126" i="17"/>
  <c r="N119" i="17" l="1"/>
  <c r="N121" i="17" s="1"/>
  <c r="O76" i="17"/>
  <c r="O83" i="17" s="1"/>
  <c r="O87" i="17" s="1"/>
  <c r="O90" i="17" s="1"/>
  <c r="O92" i="17" s="1"/>
  <c r="O77" i="17" l="1"/>
  <c r="O99" i="17" s="1"/>
  <c r="O93" i="17"/>
  <c r="O59" i="17" s="1"/>
  <c r="O60" i="17" s="1"/>
  <c r="O116" i="17" s="1"/>
  <c r="O94" i="17" l="1"/>
  <c r="O100" i="17" l="1"/>
  <c r="O102" i="17" s="1"/>
  <c r="O118" i="17" s="1"/>
  <c r="O124" i="17" s="1"/>
  <c r="O130" i="17"/>
  <c r="G131" i="17" s="1"/>
  <c r="I24" i="18" s="1"/>
  <c r="O119" i="17" l="1"/>
  <c r="O121" i="17" s="1"/>
</calcChain>
</file>

<file path=xl/sharedStrings.xml><?xml version="1.0" encoding="utf-8"?>
<sst xmlns="http://schemas.openxmlformats.org/spreadsheetml/2006/main" count="544" uniqueCount="374">
  <si>
    <t>Income statement</t>
  </si>
  <si>
    <t>MetroExpress LLC</t>
  </si>
  <si>
    <t>1. Sales</t>
  </si>
  <si>
    <t xml:space="preserve">       1.1 Total Sales</t>
  </si>
  <si>
    <t xml:space="preserve">       1.2 Sale losses and returns</t>
  </si>
  <si>
    <t xml:space="preserve">       1.3 Sale discount</t>
  </si>
  <si>
    <t xml:space="preserve">       1.4 Net sales</t>
  </si>
  <si>
    <t>2. COGS</t>
  </si>
  <si>
    <t>3. Total income</t>
  </si>
  <si>
    <t>4. Operating expense</t>
  </si>
  <si>
    <t xml:space="preserve">       4.1 Salaries and renumerations</t>
  </si>
  <si>
    <t xml:space="preserve">       4.2 Social insurance expense</t>
  </si>
  <si>
    <t xml:space="preserve">       4.3 Maintenance cost</t>
  </si>
  <si>
    <t xml:space="preserve">       4.4 Utilities</t>
  </si>
  <si>
    <t xml:space="preserve">      4.5 Rental expense</t>
  </si>
  <si>
    <t xml:space="preserve">      4.6 Travel expense</t>
  </si>
  <si>
    <t xml:space="preserve">      4.7 Transportation</t>
  </si>
  <si>
    <t>.     4.8 Outsourcing expense</t>
  </si>
  <si>
    <t xml:space="preserve">      4.9 Depreciation expense</t>
  </si>
  <si>
    <t xml:space="preserve">      4.10 Advertisement</t>
  </si>
  <si>
    <t xml:space="preserve">      4.11 Postal, training anf office expense</t>
  </si>
  <si>
    <t xml:space="preserve">      4.12 Fuel expense</t>
  </si>
  <si>
    <t xml:space="preserve">      4.13 Other expense</t>
  </si>
  <si>
    <t>5. Operating income (loss)</t>
  </si>
  <si>
    <t>6. Non-operating income</t>
  </si>
  <si>
    <t xml:space="preserve">      6.1 Interest penalty</t>
  </si>
  <si>
    <t xml:space="preserve">      6.2 Dividend income</t>
  </si>
  <si>
    <t xml:space="preserve">      6.3 Forex income</t>
  </si>
  <si>
    <t xml:space="preserve">      6.4 Others</t>
  </si>
  <si>
    <t>7. Non-operating expense</t>
  </si>
  <si>
    <t xml:space="preserve">      7.1 Interest and penalty</t>
  </si>
  <si>
    <t xml:space="preserve">      7.2 Shares and bond expense</t>
  </si>
  <si>
    <t xml:space="preserve">      7.3 Forex loss</t>
  </si>
  <si>
    <t xml:space="preserve">      7.4 Others</t>
  </si>
  <si>
    <t>8. Income (loss)</t>
  </si>
  <si>
    <t>9. Special income</t>
  </si>
  <si>
    <t>10. Special expense</t>
  </si>
  <si>
    <t>11. JV or investee income</t>
  </si>
  <si>
    <t>12. Income (loss) before tax</t>
  </si>
  <si>
    <t>13. Income tax</t>
  </si>
  <si>
    <t>14. Net income (loss)</t>
  </si>
  <si>
    <t>15. Earnings per share</t>
  </si>
  <si>
    <t>Balance items</t>
  </si>
  <si>
    <t>Assets</t>
  </si>
  <si>
    <t>Working capital</t>
  </si>
  <si>
    <t>Cash</t>
  </si>
  <si>
    <t>Current accounts</t>
  </si>
  <si>
    <t>Short-term investments</t>
  </si>
  <si>
    <t>Valuation difference</t>
  </si>
  <si>
    <t>Receivables</t>
  </si>
  <si>
    <t>Найдваргүй авлагын нөөц</t>
  </si>
  <si>
    <t>Векселийн авлага</t>
  </si>
  <si>
    <t>Холбоотой талаас авах авлага</t>
  </si>
  <si>
    <t>Компани хоорондын авлага</t>
  </si>
  <si>
    <t>Other recevables</t>
  </si>
  <si>
    <t>Inventories</t>
  </si>
  <si>
    <t>Uncompleted production</t>
  </si>
  <si>
    <t xml:space="preserve">Goods </t>
  </si>
  <si>
    <t>Semi-produced goods</t>
  </si>
  <si>
    <t>Supplies</t>
  </si>
  <si>
    <t>Package</t>
  </si>
  <si>
    <t>Animals</t>
  </si>
  <si>
    <t>Prepaid expense</t>
  </si>
  <si>
    <t>Non-working capital</t>
  </si>
  <si>
    <t>Immovables</t>
  </si>
  <si>
    <t>Land</t>
  </si>
  <si>
    <t>Buildings</t>
  </si>
  <si>
    <t>Accumulated depreciation</t>
  </si>
  <si>
    <t>Equipment and vehicles</t>
  </si>
  <si>
    <t>Furniture</t>
  </si>
  <si>
    <t>Other fixed assets</t>
  </si>
  <si>
    <t>Uncompleted construction</t>
  </si>
  <si>
    <t>Мал амьтад (ХАА-н үйлдвэрлэлийн)</t>
  </si>
  <si>
    <t>Fixed assets</t>
  </si>
  <si>
    <t>Other assets</t>
  </si>
  <si>
    <t>Goodwill</t>
  </si>
  <si>
    <t>Patents</t>
  </si>
  <si>
    <t>Copyright</t>
  </si>
  <si>
    <t>Зохион байгуулалтын зардал</t>
  </si>
  <si>
    <t>Барааны тэмдэг</t>
  </si>
  <si>
    <t>Хөрөнгө оруулалт ба бусад хөрөнгө</t>
  </si>
  <si>
    <t xml:space="preserve">   Биет бус хөрөнгийн дүн</t>
  </si>
  <si>
    <t>TOTAL ASSETS</t>
  </si>
  <si>
    <t>Б. Liablities and equity</t>
  </si>
  <si>
    <t>1. Liabilities</t>
  </si>
  <si>
    <t>Payables</t>
  </si>
  <si>
    <t>Векселийн өглөг</t>
  </si>
  <si>
    <t>Tax payables</t>
  </si>
  <si>
    <t>Salary payables</t>
  </si>
  <si>
    <t>Other tax payables</t>
  </si>
  <si>
    <t>Health insurance payables</t>
  </si>
  <si>
    <t>VAT payables</t>
  </si>
  <si>
    <t>Short-term bank loans</t>
  </si>
  <si>
    <t>Delayed tax payables</t>
  </si>
  <si>
    <t>Other payables</t>
  </si>
  <si>
    <t>Prepaid income</t>
  </si>
  <si>
    <t>Short-term payable difference</t>
  </si>
  <si>
    <t>Short-term payables</t>
  </si>
  <si>
    <t>Long-term payables</t>
  </si>
  <si>
    <t>Long-term bank debt</t>
  </si>
  <si>
    <t>Long-term bonds</t>
  </si>
  <si>
    <t>Other long-term payables</t>
  </si>
  <si>
    <t>Difference</t>
  </si>
  <si>
    <t>Liabilities</t>
  </si>
  <si>
    <t>2. Equity</t>
  </si>
  <si>
    <t>Өмч:      а) state</t>
  </si>
  <si>
    <t>б) private</t>
  </si>
  <si>
    <t>Equity</t>
  </si>
  <si>
    <t>Энгийн хувцаа  ширхэг нэрлэсэн үнэ</t>
  </si>
  <si>
    <t>Давуу эрхтэй хувьцаа ширхэг нэрлэсэн үнэ</t>
  </si>
  <si>
    <t>Халаасны хувьцаа</t>
  </si>
  <si>
    <t>Хувьцааны дүн</t>
  </si>
  <si>
    <t>Нэмж төлөгдсөн капитал</t>
  </si>
  <si>
    <t>Дахин үнэлгээний нэмэгдэл</t>
  </si>
  <si>
    <t>Эзэмшигчдийн өмчийн бусад хэсэг</t>
  </si>
  <si>
    <t>Retained earnings (loss)</t>
  </si>
  <si>
    <t>For reporting period</t>
  </si>
  <si>
    <t>Previous period</t>
  </si>
  <si>
    <t>Liability and equity</t>
  </si>
  <si>
    <t>Match</t>
  </si>
  <si>
    <t>Test</t>
  </si>
  <si>
    <t>Historic Financial Statements</t>
  </si>
  <si>
    <t>Assumptions</t>
  </si>
  <si>
    <t>Revenues</t>
  </si>
  <si>
    <t>Time Line</t>
  </si>
  <si>
    <t>Historic Switch</t>
  </si>
  <si>
    <t>Period</t>
  </si>
  <si>
    <t>Historic Revenues</t>
  </si>
  <si>
    <t>Percent Growth</t>
  </si>
  <si>
    <t>Losses and Returns</t>
  </si>
  <si>
    <t>Percent</t>
  </si>
  <si>
    <t>COGS</t>
  </si>
  <si>
    <t>Percent of Revenues</t>
  </si>
  <si>
    <t>COGS Amount</t>
  </si>
  <si>
    <t>Salaries</t>
  </si>
  <si>
    <t>Amount</t>
  </si>
  <si>
    <t>Social Remuneriation</t>
  </si>
  <si>
    <t>Percent of Salaries</t>
  </si>
  <si>
    <t>Maintenance Cost</t>
  </si>
  <si>
    <t>Percent of Fixed Assets</t>
  </si>
  <si>
    <t>Utilities</t>
  </si>
  <si>
    <t>Travel Expense</t>
  </si>
  <si>
    <t>Rent Expense</t>
  </si>
  <si>
    <t>Percent Increase</t>
  </si>
  <si>
    <t>Transportation Expense</t>
  </si>
  <si>
    <t>Postal Training</t>
  </si>
  <si>
    <t>Fuel Expense</t>
  </si>
  <si>
    <t>Other Expense</t>
  </si>
  <si>
    <t>Percent of CGS</t>
  </si>
  <si>
    <t>Outsourcing Expense</t>
  </si>
  <si>
    <t>Advertising Expense</t>
  </si>
  <si>
    <t>Percent of Revenue</t>
  </si>
  <si>
    <t>Depreciation Rate</t>
  </si>
  <si>
    <t>Percent of Net Plant</t>
  </si>
  <si>
    <t>Taxes</t>
  </si>
  <si>
    <t>Rate on Pre-tax Income</t>
  </si>
  <si>
    <t>Other Income</t>
  </si>
  <si>
    <t>Forex Income</t>
  </si>
  <si>
    <t>Forex Loss</t>
  </si>
  <si>
    <t>Special Income</t>
  </si>
  <si>
    <t>Special Expense</t>
  </si>
  <si>
    <t>JV Investee Income</t>
  </si>
  <si>
    <t>Percent of Sales</t>
  </si>
  <si>
    <t>Balance Sheet Assumptions</t>
  </si>
  <si>
    <t>Fixed Asset Increase</t>
  </si>
  <si>
    <t>Add Depreciation</t>
  </si>
  <si>
    <t>Cap Exp</t>
  </si>
  <si>
    <t>Accounts Receivable</t>
  </si>
  <si>
    <t>AR/Sales</t>
  </si>
  <si>
    <t>Supplies/COGS</t>
  </si>
  <si>
    <t>Payables to COGS</t>
  </si>
  <si>
    <t>Operating Calculation</t>
  </si>
  <si>
    <t>Operating Expenses</t>
  </si>
  <si>
    <t>Working Capital</t>
  </si>
  <si>
    <t>Plant Balance and Depreciation</t>
  </si>
  <si>
    <t>Financing</t>
  </si>
  <si>
    <t>1-Avg;2-Last;3-Input</t>
  </si>
  <si>
    <t>Input</t>
  </si>
  <si>
    <t>Applied</t>
  </si>
  <si>
    <t>Input Option</t>
  </si>
  <si>
    <t>Method</t>
  </si>
  <si>
    <t>Growth Index</t>
  </si>
  <si>
    <t>Revenues Gross</t>
  </si>
  <si>
    <t>Senstivity</t>
  </si>
  <si>
    <t>Pct of Revenues</t>
  </si>
  <si>
    <t>Lossses and Return Amount</t>
  </si>
  <si>
    <t>COGS as Pct of Revenues</t>
  </si>
  <si>
    <t>Salaries Percent Increase</t>
  </si>
  <si>
    <t>Salaries Amount</t>
  </si>
  <si>
    <t>Social Remuneriation as % of Salaries</t>
  </si>
  <si>
    <t>Social Remuneriation Expense</t>
  </si>
  <si>
    <t>Maintenance Percent of Fixed Assets</t>
  </si>
  <si>
    <t>Maintenance Amount</t>
  </si>
  <si>
    <t>Utilities Percent of Revenues</t>
  </si>
  <si>
    <t>Utilities Expense</t>
  </si>
  <si>
    <t>Travel Percent of Salaries</t>
  </si>
  <si>
    <t>Rent Expense Percent Increase</t>
  </si>
  <si>
    <t xml:space="preserve">Rent Expense  </t>
  </si>
  <si>
    <t>Transportation Percent of Sales</t>
  </si>
  <si>
    <t>Total</t>
  </si>
  <si>
    <t>Outsourcing Percent Increase</t>
  </si>
  <si>
    <t xml:space="preserve">Outsourcing  </t>
  </si>
  <si>
    <t>Advertising as Percent of Revenue</t>
  </si>
  <si>
    <t>Postal and Training Percent of Revenues</t>
  </si>
  <si>
    <t>Postal and Training Expense</t>
  </si>
  <si>
    <t>Fuel Expense as Percent of CGS</t>
  </si>
  <si>
    <t xml:space="preserve">Fuel Expense  </t>
  </si>
  <si>
    <t>Other Expense Pct of Revenues</t>
  </si>
  <si>
    <t xml:space="preserve">Other Expense  </t>
  </si>
  <si>
    <t>Captial Expenditures</t>
  </si>
  <si>
    <t>Depreciation as Percent of Net Plant</t>
  </si>
  <si>
    <t>Depreciation Expense</t>
  </si>
  <si>
    <t>Total Expenses</t>
  </si>
  <si>
    <t>Historic</t>
  </si>
  <si>
    <t>A/R as Pct of Sales</t>
  </si>
  <si>
    <t>A/R Level</t>
  </si>
  <si>
    <t>Supplies as Pct of CGS</t>
  </si>
  <si>
    <t>Total Supplies</t>
  </si>
  <si>
    <t>Payable as Pct CGS</t>
  </si>
  <si>
    <t>Total Payable</t>
  </si>
  <si>
    <t>Total Working Capital</t>
  </si>
  <si>
    <t>Change in Working Capital</t>
  </si>
  <si>
    <t>EBITDA</t>
  </si>
  <si>
    <t>Opening Balance</t>
  </si>
  <si>
    <t>Add: Cap Exp</t>
  </si>
  <si>
    <t>Less: Depreciation</t>
  </si>
  <si>
    <t>Closing Balance</t>
  </si>
  <si>
    <t>Cash Balance</t>
  </si>
  <si>
    <t>Interest Income</t>
  </si>
  <si>
    <t>Debt Balance</t>
  </si>
  <si>
    <t>Interest Expense</t>
  </si>
  <si>
    <t>Retained Earnings</t>
  </si>
  <si>
    <t>Net Income</t>
  </si>
  <si>
    <t>Dividends</t>
  </si>
  <si>
    <t>Profit and Loss</t>
  </si>
  <si>
    <t>Less: Cash Operating Expenses</t>
  </si>
  <si>
    <t xml:space="preserve">EBIT </t>
  </si>
  <si>
    <t>Less: Interest</t>
  </si>
  <si>
    <t>EBT</t>
  </si>
  <si>
    <t>Less: Taxes</t>
  </si>
  <si>
    <t>Earnings</t>
  </si>
  <si>
    <t>Tax Rate</t>
  </si>
  <si>
    <t>Cash Flow</t>
  </si>
  <si>
    <t>Less: WC Changes</t>
  </si>
  <si>
    <t>Less: Capital Expenditures</t>
  </si>
  <si>
    <t>Operating Cash Flow</t>
  </si>
  <si>
    <t>Less: Interest Expense</t>
  </si>
  <si>
    <t>Add: Interest Income</t>
  </si>
  <si>
    <t>Net Cash Flow</t>
  </si>
  <si>
    <t>Cash Available for Dividends</t>
  </si>
  <si>
    <t>Net Other Income</t>
  </si>
  <si>
    <t>Minimum Cash Balance</t>
  </si>
  <si>
    <t>Cash Flow to Reach Min Balance</t>
  </si>
  <si>
    <t>Financial Ratios</t>
  </si>
  <si>
    <t>Return on Equity</t>
  </si>
  <si>
    <t>Return on Invested Capital</t>
  </si>
  <si>
    <t>Balance Sheet</t>
  </si>
  <si>
    <t>Net Plant</t>
  </si>
  <si>
    <t>Other Assets</t>
  </si>
  <si>
    <t>Debt</t>
  </si>
  <si>
    <t>Other Liabilities</t>
  </si>
  <si>
    <t>Equity Balance</t>
  </si>
  <si>
    <t>Add: Net Income</t>
  </si>
  <si>
    <t>Less: Dividends</t>
  </si>
  <si>
    <t>Historic Asset Check</t>
  </si>
  <si>
    <t>Historic Asset Difference</t>
  </si>
  <si>
    <t>Less: Cash Flow Used for Min Cash Balance</t>
  </si>
  <si>
    <t>Add: Other Income</t>
  </si>
  <si>
    <t>Required Cash to Meet Minimum Balance</t>
  </si>
  <si>
    <t>Add: Cash Used in Cash Flow Statement</t>
  </si>
  <si>
    <t>Balance Sheet Check</t>
  </si>
  <si>
    <t xml:space="preserve">Base </t>
  </si>
  <si>
    <t>Growth</t>
  </si>
  <si>
    <t>Revenue Growth Index</t>
  </si>
  <si>
    <t>Losses as Pct of Revenues</t>
  </si>
  <si>
    <t>Index</t>
  </si>
  <si>
    <t>History</t>
  </si>
  <si>
    <t>Projection</t>
  </si>
  <si>
    <t>Transacton Assumptions</t>
  </si>
  <si>
    <t>Date</t>
  </si>
  <si>
    <t>EV to EBITDA</t>
  </si>
  <si>
    <t>Column Number</t>
  </si>
  <si>
    <t xml:space="preserve">EV  </t>
  </si>
  <si>
    <t>USD/MNT</t>
  </si>
  <si>
    <t>EV in USD</t>
  </si>
  <si>
    <t>Net Cash</t>
  </si>
  <si>
    <t>Equity Consideration</t>
  </si>
  <si>
    <t>Implied P/E Trans Mult</t>
  </si>
  <si>
    <t>Debt Percent</t>
  </si>
  <si>
    <t>Debt Amount</t>
  </si>
  <si>
    <t>Interest Rate</t>
  </si>
  <si>
    <t>Sweep Percent</t>
  </si>
  <si>
    <t>Debt/EBITDA</t>
  </si>
  <si>
    <t>Pct</t>
  </si>
  <si>
    <t>Up-front Fee</t>
  </si>
  <si>
    <t>Exit Multiple</t>
  </si>
  <si>
    <t>Holding Period</t>
  </si>
  <si>
    <t>Sources and Uses</t>
  </si>
  <si>
    <t>Uses</t>
  </si>
  <si>
    <t>Sources</t>
  </si>
  <si>
    <t>Goodwill Analysis</t>
  </si>
  <si>
    <t>Consideration</t>
  </si>
  <si>
    <t>Less: Existing Equity</t>
  </si>
  <si>
    <t>Advisory Fee</t>
  </si>
  <si>
    <t>Synergies</t>
  </si>
  <si>
    <t>Pct of EBITDA</t>
  </si>
  <si>
    <t>Base Case</t>
  </si>
  <si>
    <t>Best Case</t>
  </si>
  <si>
    <t>Low Case</t>
  </si>
  <si>
    <t>No Synergy Case</t>
  </si>
  <si>
    <t>Code</t>
  </si>
  <si>
    <t>Pro-Forma Balance Sheet</t>
  </si>
  <si>
    <t>Unamortized Debt Cost</t>
  </si>
  <si>
    <t>New Debt</t>
  </si>
  <si>
    <t>Equity Adjust</t>
  </si>
  <si>
    <t>New Equity</t>
  </si>
  <si>
    <t>Total Adjustment</t>
  </si>
  <si>
    <t xml:space="preserve">Adjusted </t>
  </si>
  <si>
    <t>Add: Advisory Fees</t>
  </si>
  <si>
    <t>Add: Debt Fees</t>
  </si>
  <si>
    <t>Debt to EBTDA</t>
  </si>
  <si>
    <t>Timeline</t>
  </si>
  <si>
    <t>Year</t>
  </si>
  <si>
    <t>Holding Period Switch</t>
  </si>
  <si>
    <t>Terminal Switch</t>
  </si>
  <si>
    <t>Column Number of Base Model</t>
  </si>
  <si>
    <t>Data Transferred</t>
  </si>
  <si>
    <t>WC Changes</t>
  </si>
  <si>
    <t>Capital Expenditures</t>
  </si>
  <si>
    <t>Depreciation</t>
  </si>
  <si>
    <t>Supply Balance</t>
  </si>
  <si>
    <t>A/R Balance</t>
  </si>
  <si>
    <t>Net Plant Balance</t>
  </si>
  <si>
    <t>Other Liability Balance</t>
  </si>
  <si>
    <t>Other Asset Balance</t>
  </si>
  <si>
    <t>Cash Analysis</t>
  </si>
  <si>
    <t>Minimum Balance</t>
  </si>
  <si>
    <t>Cash Required for Minimum Balance</t>
  </si>
  <si>
    <t>Less: Opening Balance</t>
  </si>
  <si>
    <t>Add: Cash For Minimum</t>
  </si>
  <si>
    <t>Interest Income Rate</t>
  </si>
  <si>
    <t>Less: Repyament from Cash Flow</t>
  </si>
  <si>
    <t>EBITDA After Synergies</t>
  </si>
  <si>
    <t>Adjustments</t>
  </si>
  <si>
    <t>Less: Amortisation of Debt Fees</t>
  </si>
  <si>
    <t>Debt Fee Amortisation</t>
  </si>
  <si>
    <t>Level</t>
  </si>
  <si>
    <t>Amortisation</t>
  </si>
  <si>
    <t>Unamortised Balance</t>
  </si>
  <si>
    <t>EBIT</t>
  </si>
  <si>
    <t>Less Taxes</t>
  </si>
  <si>
    <t>Add: Exit Proceeds</t>
  </si>
  <si>
    <t>Less: Operating Cash Required</t>
  </si>
  <si>
    <t>Cash Flow for Debt Repayment</t>
  </si>
  <si>
    <t>Less: Debt Repayment</t>
  </si>
  <si>
    <t>Cash Sweep Requirement</t>
  </si>
  <si>
    <t>Net Cash Flow to Equity</t>
  </si>
  <si>
    <t>Add: Income</t>
  </si>
  <si>
    <t>Debt to Capital</t>
  </si>
  <si>
    <t>Debt to EBITDA</t>
  </si>
  <si>
    <t>EBIT to Interest</t>
  </si>
  <si>
    <t>Cash Sweep Percent</t>
  </si>
  <si>
    <t>Equity Cash Flow</t>
  </si>
  <si>
    <t>Equity IRR</t>
  </si>
  <si>
    <t>Payable Balance</t>
  </si>
  <si>
    <t>Add: Terminal Procceds</t>
  </si>
  <si>
    <t>COGS Pct</t>
  </si>
  <si>
    <t>Salary Growth</t>
  </si>
  <si>
    <t>EV/EBITDA</t>
  </si>
  <si>
    <t>Acquistion Structuring</t>
  </si>
  <si>
    <t>Transaction Date</t>
  </si>
  <si>
    <t>Exit EV/EBITDA</t>
  </si>
  <si>
    <t>Acquistion Outputs</t>
  </si>
  <si>
    <t>Assumption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</si>
</sst>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#,##0.0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</font>
    <font>
      <u val="singleAccounting"/>
      <sz val="10"/>
      <name val="Arial"/>
      <family val="2"/>
    </font>
    <font>
      <sz val="10"/>
      <color rgb="FF3333CC"/>
      <name val="Arial"/>
      <family val="2"/>
    </font>
    <font>
      <u val="singleAccounting"/>
      <sz val="10"/>
      <color rgb="FF3333CC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NumberFormat="0" applyFill="0" applyBorder="0" applyAlignment="0" applyProtection="0"/>
  </cellStyleXfs>
  <cellXfs count="8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" fontId="0" fillId="0" borderId="0" xfId="0" applyNumberFormat="1"/>
    <xf numFmtId="0" fontId="2" fillId="0" borderId="0" xfId="0" applyFont="1"/>
    <xf numFmtId="4" fontId="1" fillId="0" borderId="0" xfId="0" applyNumberFormat="1" applyFont="1"/>
    <xf numFmtId="0" fontId="1" fillId="0" borderId="0" xfId="0" applyFont="1" applyBorder="1"/>
    <xf numFmtId="0" fontId="2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43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/>
    <xf numFmtId="4" fontId="1" fillId="0" borderId="1" xfId="0" applyNumberFormat="1" applyFont="1" applyBorder="1"/>
    <xf numFmtId="0" fontId="1" fillId="0" borderId="0" xfId="0" applyFont="1" applyBorder="1" applyAlignment="1">
      <alignment horizontal="centerContinuous" vertical="center"/>
    </xf>
    <xf numFmtId="0" fontId="1" fillId="0" borderId="1" xfId="0" applyFont="1" applyBorder="1"/>
    <xf numFmtId="0" fontId="1" fillId="0" borderId="0" xfId="2" applyFont="1" applyBorder="1" applyAlignment="1">
      <alignment horizontal="center" vertical="center"/>
    </xf>
    <xf numFmtId="0" fontId="1" fillId="0" borderId="0" xfId="2" applyFont="1" applyBorder="1" applyAlignment="1"/>
    <xf numFmtId="0" fontId="1" fillId="0" borderId="0" xfId="2" applyFont="1" applyBorder="1" applyAlignment="1">
      <alignment horizontal="center"/>
    </xf>
    <xf numFmtId="43" fontId="1" fillId="0" borderId="0" xfId="3" applyFont="1" applyBorder="1" applyAlignment="1"/>
    <xf numFmtId="4" fontId="1" fillId="0" borderId="0" xfId="2" applyNumberFormat="1" applyFont="1" applyBorder="1" applyAlignment="1"/>
    <xf numFmtId="43" fontId="4" fillId="0" borderId="0" xfId="3" applyFont="1" applyBorder="1" applyAlignment="1"/>
    <xf numFmtId="43" fontId="1" fillId="0" borderId="0" xfId="2" applyNumberFormat="1" applyFont="1" applyBorder="1" applyAlignment="1"/>
    <xf numFmtId="14" fontId="1" fillId="0" borderId="0" xfId="2" applyNumberFormat="1" applyFont="1" applyBorder="1" applyAlignment="1">
      <alignment horizontal="center" vertical="center"/>
    </xf>
    <xf numFmtId="0" fontId="1" fillId="0" borderId="2" xfId="2" applyFont="1" applyBorder="1" applyAlignment="1"/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/>
    <xf numFmtId="10" fontId="1" fillId="0" borderId="0" xfId="2" applyNumberFormat="1" applyFont="1" applyBorder="1" applyAlignment="1"/>
    <xf numFmtId="9" fontId="1" fillId="0" borderId="0" xfId="2" applyNumberFormat="1" applyFont="1" applyBorder="1" applyAlignment="1"/>
    <xf numFmtId="43" fontId="1" fillId="0" borderId="0" xfId="0" applyNumberFormat="1" applyFont="1" applyBorder="1"/>
    <xf numFmtId="9" fontId="1" fillId="0" borderId="0" xfId="0" applyNumberFormat="1" applyFont="1" applyBorder="1"/>
    <xf numFmtId="164" fontId="1" fillId="0" borderId="0" xfId="0" applyNumberFormat="1" applyFont="1" applyBorder="1"/>
    <xf numFmtId="10" fontId="1" fillId="0" borderId="0" xfId="0" applyNumberFormat="1" applyFont="1" applyBorder="1"/>
    <xf numFmtId="10" fontId="1" fillId="0" borderId="0" xfId="1" applyNumberFormat="1" applyFont="1" applyBorder="1"/>
    <xf numFmtId="3" fontId="1" fillId="0" borderId="0" xfId="0" applyNumberFormat="1" applyFont="1" applyBorder="1"/>
    <xf numFmtId="0" fontId="5" fillId="0" borderId="0" xfId="0" applyFont="1" applyBorder="1"/>
    <xf numFmtId="15" fontId="5" fillId="0" borderId="0" xfId="0" applyNumberFormat="1" applyFont="1" applyBorder="1" applyAlignment="1">
      <alignment horizontal="center"/>
    </xf>
    <xf numFmtId="14" fontId="5" fillId="0" borderId="0" xfId="0" applyNumberFormat="1" applyFont="1" applyBorder="1"/>
    <xf numFmtId="43" fontId="5" fillId="0" borderId="0" xfId="3" applyFont="1" applyBorder="1" applyAlignment="1"/>
    <xf numFmtId="43" fontId="6" fillId="0" borderId="0" xfId="3" applyFont="1" applyBorder="1" applyAlignment="1"/>
    <xf numFmtId="43" fontId="5" fillId="0" borderId="2" xfId="3" applyFont="1" applyBorder="1" applyAlignment="1"/>
    <xf numFmtId="0" fontId="5" fillId="0" borderId="0" xfId="2" applyFont="1" applyBorder="1" applyAlignment="1"/>
    <xf numFmtId="9" fontId="5" fillId="0" borderId="0" xfId="2" applyNumberFormat="1" applyFont="1" applyBorder="1" applyAlignment="1"/>
    <xf numFmtId="10" fontId="5" fillId="0" borderId="0" xfId="2" applyNumberFormat="1" applyFont="1" applyBorder="1" applyAlignment="1"/>
    <xf numFmtId="9" fontId="5" fillId="0" borderId="0" xfId="0" applyNumberFormat="1" applyFont="1" applyBorder="1"/>
    <xf numFmtId="10" fontId="5" fillId="0" borderId="0" xfId="0" applyNumberFormat="1" applyFont="1" applyBorder="1"/>
    <xf numFmtId="3" fontId="5" fillId="0" borderId="0" xfId="0" applyNumberFormat="1" applyFont="1" applyBorder="1"/>
    <xf numFmtId="0" fontId="1" fillId="0" borderId="1" xfId="0" applyFont="1" applyFill="1" applyBorder="1"/>
    <xf numFmtId="4" fontId="1" fillId="0" borderId="0" xfId="1" applyNumberFormat="1" applyFont="1" applyBorder="1"/>
    <xf numFmtId="0" fontId="1" fillId="0" borderId="2" xfId="0" applyFont="1" applyBorder="1"/>
    <xf numFmtId="165" fontId="5" fillId="0" borderId="0" xfId="0" applyNumberFormat="1" applyFont="1" applyBorder="1" applyAlignment="1">
      <alignment horizontal="center" vertical="center"/>
    </xf>
    <xf numFmtId="165" fontId="5" fillId="0" borderId="0" xfId="0" applyNumberFormat="1" applyFont="1" applyBorder="1"/>
    <xf numFmtId="165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/>
    <xf numFmtId="166" fontId="1" fillId="0" borderId="0" xfId="2" applyNumberFormat="1" applyFont="1" applyBorder="1" applyAlignment="1"/>
    <xf numFmtId="166" fontId="1" fillId="0" borderId="0" xfId="0" applyNumberFormat="1" applyFont="1" applyBorder="1"/>
    <xf numFmtId="3" fontId="1" fillId="0" borderId="0" xfId="2" applyNumberFormat="1" applyFont="1" applyBorder="1" applyAlignment="1"/>
    <xf numFmtId="3" fontId="1" fillId="0" borderId="1" xfId="0" applyNumberFormat="1" applyFont="1" applyBorder="1"/>
    <xf numFmtId="3" fontId="1" fillId="0" borderId="2" xfId="0" applyNumberFormat="1" applyFont="1" applyBorder="1"/>
    <xf numFmtId="3" fontId="0" fillId="0" borderId="0" xfId="0" applyNumberFormat="1"/>
    <xf numFmtId="9" fontId="0" fillId="0" borderId="0" xfId="0" applyNumberFormat="1"/>
    <xf numFmtId="3" fontId="1" fillId="0" borderId="0" xfId="0" applyNumberFormat="1" applyFont="1"/>
    <xf numFmtId="166" fontId="1" fillId="0" borderId="0" xfId="0" applyNumberFormat="1" applyFont="1"/>
    <xf numFmtId="9" fontId="1" fillId="0" borderId="0" xfId="0" applyNumberFormat="1" applyFont="1"/>
    <xf numFmtId="0" fontId="5" fillId="0" borderId="0" xfId="0" applyFont="1"/>
    <xf numFmtId="9" fontId="5" fillId="0" borderId="0" xfId="0" applyNumberFormat="1" applyFont="1"/>
    <xf numFmtId="10" fontId="5" fillId="0" borderId="0" xfId="0" applyNumberFormat="1" applyFont="1"/>
    <xf numFmtId="0" fontId="1" fillId="0" borderId="3" xfId="0" applyFont="1" applyBorder="1"/>
    <xf numFmtId="0" fontId="1" fillId="0" borderId="4" xfId="0" applyFont="1" applyBorder="1"/>
    <xf numFmtId="9" fontId="1" fillId="0" borderId="4" xfId="0" applyNumberFormat="1" applyFont="1" applyBorder="1"/>
    <xf numFmtId="9" fontId="1" fillId="0" borderId="5" xfId="0" applyNumberFormat="1" applyFont="1" applyBorder="1"/>
    <xf numFmtId="0" fontId="0" fillId="0" borderId="2" xfId="0" applyBorder="1"/>
    <xf numFmtId="10" fontId="0" fillId="0" borderId="0" xfId="0" applyNumberFormat="1"/>
    <xf numFmtId="0" fontId="7" fillId="0" borderId="0" xfId="0" applyFont="1"/>
    <xf numFmtId="9" fontId="7" fillId="0" borderId="0" xfId="0" applyNumberFormat="1" applyFont="1"/>
    <xf numFmtId="4" fontId="7" fillId="0" borderId="0" xfId="0" applyNumberFormat="1" applyFont="1"/>
    <xf numFmtId="10" fontId="7" fillId="0" borderId="0" xfId="0" applyNumberFormat="1" applyFont="1"/>
    <xf numFmtId="0" fontId="7" fillId="0" borderId="0" xfId="0" applyFont="1" applyAlignment="1">
      <alignment horizontal="center"/>
    </xf>
    <xf numFmtId="3" fontId="7" fillId="0" borderId="0" xfId="0" applyNumberFormat="1" applyFont="1"/>
    <xf numFmtId="3" fontId="7" fillId="0" borderId="2" xfId="0" applyNumberFormat="1" applyFont="1" applyBorder="1"/>
    <xf numFmtId="0" fontId="1" fillId="0" borderId="6" xfId="0" applyFont="1" applyBorder="1"/>
    <xf numFmtId="0" fontId="0" fillId="0" borderId="6" xfId="0" applyBorder="1"/>
    <xf numFmtId="3" fontId="0" fillId="0" borderId="6" xfId="0" applyNumberFormat="1" applyBorder="1"/>
    <xf numFmtId="3" fontId="0" fillId="0" borderId="2" xfId="0" applyNumberFormat="1" applyBorder="1"/>
    <xf numFmtId="0" fontId="0" fillId="0" borderId="1" xfId="0" applyBorder="1"/>
    <xf numFmtId="3" fontId="0" fillId="0" borderId="1" xfId="0" applyNumberFormat="1" applyBorder="1"/>
    <xf numFmtId="3" fontId="0" fillId="2" borderId="0" xfId="0" applyNumberFormat="1" applyFill="1"/>
  </cellXfs>
  <cellStyles count="5">
    <cellStyle name="Comma 2" xfId="3"/>
    <cellStyle name="Comma 3" xfId="4"/>
    <cellStyle name="Normal" xfId="0" builtinId="0"/>
    <cellStyle name="Normal 2" xfId="2"/>
    <cellStyle name="Percent" xfId="1" builtinId="5"/>
  </cellStyles>
  <dxfs count="3">
    <dxf>
      <font>
        <color rgb="FF3333CC"/>
      </font>
    </dxf>
    <dxf>
      <font>
        <color rgb="FFFF0000"/>
      </font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Return on Equity and Return on Invested Capital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'Financial Model'!$B$386:$H$386</c:f>
              <c:strCache>
                <c:ptCount val="7"/>
                <c:pt idx="0">
                  <c:v>Return on Equity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'Financial Model'!$I$385:$T$385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'Financial Model'!$I$386:$T$386</c:f>
              <c:numCache>
                <c:formatCode>0%</c:formatCode>
                <c:ptCount val="12"/>
                <c:pt idx="0">
                  <c:v>0.34822663247899466</c:v>
                </c:pt>
                <c:pt idx="1">
                  <c:v>0.19923117558073708</c:v>
                </c:pt>
                <c:pt idx="2">
                  <c:v>0.34340049443000975</c:v>
                </c:pt>
                <c:pt idx="3">
                  <c:v>0.22210682142143834</c:v>
                </c:pt>
                <c:pt idx="4">
                  <c:v>0.26704042816628609</c:v>
                </c:pt>
                <c:pt idx="5">
                  <c:v>0.27919835723969721</c:v>
                </c:pt>
                <c:pt idx="6">
                  <c:v>0.28933912467565698</c:v>
                </c:pt>
                <c:pt idx="7">
                  <c:v>0.29806591516530723</c:v>
                </c:pt>
                <c:pt idx="8">
                  <c:v>0.30555508588317737</c:v>
                </c:pt>
                <c:pt idx="9">
                  <c:v>0.31197222562185212</c:v>
                </c:pt>
                <c:pt idx="10">
                  <c:v>0.31746808942265053</c:v>
                </c:pt>
                <c:pt idx="11">
                  <c:v>0.3221768302911624</c:v>
                </c:pt>
              </c:numCache>
            </c:numRef>
          </c:val>
        </c:ser>
        <c:ser>
          <c:idx val="1"/>
          <c:order val="1"/>
          <c:tx>
            <c:strRef>
              <c:f>'Financial Model'!$B$387:$H$387</c:f>
              <c:strCache>
                <c:ptCount val="7"/>
                <c:pt idx="0">
                  <c:v>Return on Invested Capital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'Financial Model'!$I$385:$T$385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'Financial Model'!$I$387:$T$387</c:f>
              <c:numCache>
                <c:formatCode>0%</c:formatCode>
                <c:ptCount val="12"/>
                <c:pt idx="0">
                  <c:v>0.71362379947563503</c:v>
                </c:pt>
                <c:pt idx="1">
                  <c:v>0.2275762175133039</c:v>
                </c:pt>
                <c:pt idx="2">
                  <c:v>0.39658918404255311</c:v>
                </c:pt>
                <c:pt idx="3">
                  <c:v>0.26680519170547268</c:v>
                </c:pt>
                <c:pt idx="4">
                  <c:v>0.2941609214003984</c:v>
                </c:pt>
                <c:pt idx="5">
                  <c:v>0.30449878099683975</c:v>
                </c:pt>
                <c:pt idx="6">
                  <c:v>0.31494164996680851</c:v>
                </c:pt>
                <c:pt idx="7">
                  <c:v>0.32387468571189065</c:v>
                </c:pt>
                <c:pt idx="8">
                  <c:v>0.33148960670684074</c:v>
                </c:pt>
                <c:pt idx="9">
                  <c:v>0.33796667981048434</c:v>
                </c:pt>
                <c:pt idx="10">
                  <c:v>0.343470045690975</c:v>
                </c:pt>
                <c:pt idx="11">
                  <c:v>0.34814563728587172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569630112"/>
        <c:axId val="-1569621408"/>
      </c:barChart>
      <c:catAx>
        <c:axId val="-156963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69621408"/>
        <c:crosses val="autoZero"/>
        <c:auto val="1"/>
        <c:lblAlgn val="ctr"/>
        <c:lblOffset val="100"/>
        <c:noMultiLvlLbl val="0"/>
      </c:catAx>
      <c:valAx>
        <c:axId val="-156962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569630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'Graph Data'!$F$74</c:f>
          <c:strCache>
            <c:ptCount val="1"/>
            <c:pt idx="0">
              <c:v>Total Payable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'Graph Data'!$F$77:$H$77</c:f>
              <c:strCache>
                <c:ptCount val="3"/>
                <c:pt idx="0">
                  <c:v>History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'Graph Data'!$I$76:$T$76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'Graph Data'!$I$77:$T$77</c:f>
              <c:numCache>
                <c:formatCode>General</c:formatCode>
                <c:ptCount val="12"/>
                <c:pt idx="0">
                  <c:v>356787538.84999955</c:v>
                </c:pt>
                <c:pt idx="1">
                  <c:v>1614438169.9582896</c:v>
                </c:pt>
                <c:pt idx="2">
                  <c:v>527344669.43099964</c:v>
                </c:pt>
                <c:pt idx="3">
                  <c:v>721332675.64099979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'Graph Data'!$F$78:$H$78</c:f>
              <c:strCache>
                <c:ptCount val="3"/>
                <c:pt idx="0">
                  <c:v>Projection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'Graph Data'!$I$76:$T$76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'Graph Data'!$I$78:$T$78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825621132.9516871</c:v>
                </c:pt>
                <c:pt idx="5">
                  <c:v>908183246.24685585</c:v>
                </c:pt>
                <c:pt idx="6">
                  <c:v>999001570.87154162</c:v>
                </c:pt>
                <c:pt idx="7">
                  <c:v>1098901727.9586959</c:v>
                </c:pt>
                <c:pt idx="8">
                  <c:v>1208791900.7545655</c:v>
                </c:pt>
                <c:pt idx="9">
                  <c:v>1329671090.8300221</c:v>
                </c:pt>
                <c:pt idx="10">
                  <c:v>1462638199.9130244</c:v>
                </c:pt>
                <c:pt idx="11">
                  <c:v>1608902019.9043269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668861312"/>
        <c:axId val="-1668855872"/>
      </c:barChart>
      <c:catAx>
        <c:axId val="-166886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68855872"/>
        <c:crosses val="autoZero"/>
        <c:auto val="1"/>
        <c:lblAlgn val="ctr"/>
        <c:lblOffset val="100"/>
        <c:noMultiLvlLbl val="0"/>
      </c:catAx>
      <c:valAx>
        <c:axId val="-1668855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66886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Lines="30" dropStyle="combo" dx="25" fmlaLink="'Graph Data'!$I$71" fmlaRange="'Graph Data'!$F$4:$F$68" noThreeD="1" sel="41" val="35"/>
</file>

<file path=xl/ctrlProps/ctrlProp10.xml><?xml version="1.0" encoding="utf-8"?>
<formControlPr xmlns="http://schemas.microsoft.com/office/spreadsheetml/2009/9/main" objectType="Spin" dx="31" fmlaLink="'Financial Model'!$G$141" max="140" min="80" page="10" val="110"/>
</file>

<file path=xl/ctrlProps/ctrlProp11.xml><?xml version="1.0" encoding="utf-8"?>
<formControlPr xmlns="http://schemas.microsoft.com/office/spreadsheetml/2009/9/main" objectType="Spin" dx="31" fmlaLink="'Structuring Assumptions'!$E$6" max="15" min="1" page="10" val="8"/>
</file>

<file path=xl/ctrlProps/ctrlProp12.xml><?xml version="1.0" encoding="utf-8"?>
<formControlPr xmlns="http://schemas.microsoft.com/office/spreadsheetml/2009/9/main" objectType="Spin" dx="31" fmlaLink="'Structuring Assumptions'!$E$6" max="15" min="1" page="10" val="8"/>
</file>

<file path=xl/ctrlProps/ctrlProp13.xml><?xml version="1.0" encoding="utf-8"?>
<formControlPr xmlns="http://schemas.microsoft.com/office/spreadsheetml/2009/9/main" objectType="Spin" dx="31" fmlaLink="'Structuring Assumptions'!$E$19" max="15" min="1" page="10" val="7"/>
</file>

<file path=xl/ctrlProps/ctrlProp14.xml><?xml version="1.0" encoding="utf-8"?>
<formControlPr xmlns="http://schemas.microsoft.com/office/spreadsheetml/2009/9/main" objectType="Spin" dx="31" fmlaLink="'Structuring Assumptions'!$E$20" max="15" min="1" page="10" val="6"/>
</file>

<file path=xl/ctrlProps/ctrlProp15.xml><?xml version="1.0" encoding="utf-8"?>
<formControlPr xmlns="http://schemas.microsoft.com/office/spreadsheetml/2009/9/main" objectType="Spin" dx="31" fmlaLink="'Structuring Assumptions'!$E$3" max="2020" min="2011" page="10" val="2014"/>
</file>

<file path=xl/ctrlProps/ctrlProp16.xml><?xml version="1.0" encoding="utf-8"?>
<formControlPr xmlns="http://schemas.microsoft.com/office/spreadsheetml/2009/9/main" objectType="Spin" dx="31" fmlaLink="'Structuring Assumptions'!$G$25" max="100" page="10" val="82"/>
</file>

<file path=xl/ctrlProps/ctrlProp17.xml><?xml version="1.0" encoding="utf-8"?>
<formControlPr xmlns="http://schemas.microsoft.com/office/spreadsheetml/2009/9/main" objectType="Drop" dropStyle="combo" dx="25" fmlaLink="'Structuring Assumptions'!$E$56" fmlaRange="'Structuring Assumptions'!$D$58:$D$61" noThreeD="1" val="0"/>
</file>

<file path=xl/ctrlProps/ctrlProp18.xml><?xml version="1.0" encoding="utf-8"?>
<formControlPr xmlns="http://schemas.microsoft.com/office/spreadsheetml/2009/9/main" objectType="Spin" dx="31" fmlaLink="'Financial Model'!$E$140" max="3" min="1" page="10" val="3"/>
</file>

<file path=xl/ctrlProps/ctrlProp19.xml><?xml version="1.0" encoding="utf-8"?>
<formControlPr xmlns="http://schemas.microsoft.com/office/spreadsheetml/2009/9/main" objectType="Spin" dx="31" fmlaLink="'Financial Model'!$E$143" max="3" min="1" page="10" val="3"/>
</file>

<file path=xl/ctrlProps/ctrlProp2.xml><?xml version="1.0" encoding="utf-8"?>
<formControlPr xmlns="http://schemas.microsoft.com/office/spreadsheetml/2009/9/main" objectType="Spin" dx="31" fmlaLink="'Graph Data'!$I$71" max="59" min="1" page="10" val="41"/>
</file>

<file path=xl/ctrlProps/ctrlProp20.xml><?xml version="1.0" encoding="utf-8"?>
<formControlPr xmlns="http://schemas.microsoft.com/office/spreadsheetml/2009/9/main" objectType="Spin" dx="31" fmlaLink="'Financial Model'!$E$147" max="3" min="1" page="10" val="3"/>
</file>

<file path=xl/ctrlProps/ctrlProp21.xml><?xml version="1.0" encoding="utf-8"?>
<formControlPr xmlns="http://schemas.microsoft.com/office/spreadsheetml/2009/9/main" objectType="Spin" dx="31" fmlaLink="'Financial Model'!$E$151" max="3" min="1" page="10" val="3"/>
</file>

<file path=xl/ctrlProps/ctrlProp22.xml><?xml version="1.0" encoding="utf-8"?>
<formControlPr xmlns="http://schemas.microsoft.com/office/spreadsheetml/2009/9/main" objectType="Spin" dx="31" fmlaLink="'Financial Model'!$G$141" max="140" min="80" page="10" val="110"/>
</file>

<file path=xl/ctrlProps/ctrlProp23.xml><?xml version="1.0" encoding="utf-8"?>
<formControlPr xmlns="http://schemas.microsoft.com/office/spreadsheetml/2009/9/main" objectType="Spin" dx="31" fmlaLink="'Financial Model'!$G$148" max="30" min="25" page="10" val="28"/>
</file>

<file path=xl/ctrlProps/ctrlProp24.xml><?xml version="1.0" encoding="utf-8"?>
<formControlPr xmlns="http://schemas.microsoft.com/office/spreadsheetml/2009/9/main" objectType="Spin" dx="31" fmlaLink="'Financial Model'!$G$148" max="30" min="25" page="10" val="28"/>
</file>

<file path=xl/ctrlProps/ctrlProp25.xml><?xml version="1.0" encoding="utf-8"?>
<formControlPr xmlns="http://schemas.microsoft.com/office/spreadsheetml/2009/9/main" objectType="Spin" dx="31" fmlaLink="'Financial Model'!$E$219" max="3" min="1" page="10" val="3"/>
</file>

<file path=xl/ctrlProps/ctrlProp26.xml><?xml version="1.0" encoding="utf-8"?>
<formControlPr xmlns="http://schemas.microsoft.com/office/spreadsheetml/2009/9/main" objectType="Spin" dx="31" fmlaLink="'Financial Model'!$E$219" max="500" min="10" page="10" val="10"/>
</file>

<file path=xl/ctrlProps/ctrlProp27.xml><?xml version="1.0" encoding="utf-8"?>
<formControlPr xmlns="http://schemas.microsoft.com/office/spreadsheetml/2009/9/main" objectType="Drop" dropStyle="combo" dx="25" fmlaLink="'Structuring Assumptions'!$E$56" fmlaRange="'Structuring Assumptions'!$D$58:$D$61" noThreeD="1" val="0"/>
</file>

<file path=xl/ctrlProps/ctrlProp28.xml><?xml version="1.0" encoding="utf-8"?>
<formControlPr xmlns="http://schemas.microsoft.com/office/spreadsheetml/2009/9/main" objectType="Spin" dx="31" fmlaLink="'Structuring Assumptions'!$E$6" max="15" min="1" page="10" val="8"/>
</file>

<file path=xl/ctrlProps/ctrlProp29.xml><?xml version="1.0" encoding="utf-8"?>
<formControlPr xmlns="http://schemas.microsoft.com/office/spreadsheetml/2009/9/main" objectType="Spin" dx="31" fmlaLink="'Structuring Assumptions'!$E$19" max="15" min="1" page="10" val="7"/>
</file>

<file path=xl/ctrlProps/ctrlProp3.xml><?xml version="1.0" encoding="utf-8"?>
<formControlPr xmlns="http://schemas.microsoft.com/office/spreadsheetml/2009/9/main" objectType="Spin" dx="31" fmlaLink="'Financial Model'!$E$140" max="3" min="1" page="10" val="3"/>
</file>

<file path=xl/ctrlProps/ctrlProp30.xml><?xml version="1.0" encoding="utf-8"?>
<formControlPr xmlns="http://schemas.microsoft.com/office/spreadsheetml/2009/9/main" objectType="Spin" dx="31" fmlaLink="'Structuring Assumptions'!$E$20" max="15" min="1" page="10" val="6"/>
</file>

<file path=xl/ctrlProps/ctrlProp31.xml><?xml version="1.0" encoding="utf-8"?>
<formControlPr xmlns="http://schemas.microsoft.com/office/spreadsheetml/2009/9/main" objectType="Spin" dx="31" fmlaLink="'Structuring Assumptions'!$E$3" max="2020" min="2011" page="10" val="2014"/>
</file>

<file path=xl/ctrlProps/ctrlProp32.xml><?xml version="1.0" encoding="utf-8"?>
<formControlPr xmlns="http://schemas.microsoft.com/office/spreadsheetml/2009/9/main" objectType="Spin" dx="31" fmlaLink="'Structuring Assumptions'!$G$25" max="100" page="10" val="82"/>
</file>

<file path=xl/ctrlProps/ctrlProp33.xml><?xml version="1.0" encoding="utf-8"?>
<formControlPr xmlns="http://schemas.microsoft.com/office/spreadsheetml/2009/9/main" objectType="Drop" dropStyle="combo" dx="25" fmlaLink="'Structuring Assumptions'!$E$56" fmlaRange="'Structuring Assumptions'!$D$58:$D$61" noThreeD="1" val="0"/>
</file>

<file path=xl/ctrlProps/ctrlProp34.xml><?xml version="1.0" encoding="utf-8"?>
<formControlPr xmlns="http://schemas.microsoft.com/office/spreadsheetml/2009/9/main" objectType="Drop" dropLines="30" dropStyle="combo" dx="25" fmlaLink="'Graph Data'!$I$71" fmlaRange="'Graph Data'!$F$4:$F$68" noThreeD="1" sel="41" val="0"/>
</file>

<file path=xl/ctrlProps/ctrlProp35.xml><?xml version="1.0" encoding="utf-8"?>
<formControlPr xmlns="http://schemas.microsoft.com/office/spreadsheetml/2009/9/main" objectType="Spin" dx="31" fmlaLink="'Graph Data'!$I$71" max="59" min="1" page="10" val="41"/>
</file>

<file path=xl/ctrlProps/ctrlProp4.xml><?xml version="1.0" encoding="utf-8"?>
<formControlPr xmlns="http://schemas.microsoft.com/office/spreadsheetml/2009/9/main" objectType="Spin" dx="31" fmlaLink="'Financial Model'!$E$147" max="3" min="1" page="10" val="3"/>
</file>

<file path=xl/ctrlProps/ctrlProp5.xml><?xml version="1.0" encoding="utf-8"?>
<formControlPr xmlns="http://schemas.microsoft.com/office/spreadsheetml/2009/9/main" objectType="Spin" dx="31" fmlaLink="'Financial Model'!$E$151" max="3" min="1" page="10" val="3"/>
</file>

<file path=xl/ctrlProps/ctrlProp6.xml><?xml version="1.0" encoding="utf-8"?>
<formControlPr xmlns="http://schemas.microsoft.com/office/spreadsheetml/2009/9/main" objectType="Spin" dx="31" fmlaLink="'Financial Model'!$E$219" max="3" min="1" page="10" val="3"/>
</file>

<file path=xl/ctrlProps/ctrlProp7.xml><?xml version="1.0" encoding="utf-8"?>
<formControlPr xmlns="http://schemas.microsoft.com/office/spreadsheetml/2009/9/main" objectType="Spin" dx="31" fmlaLink="'Financial Model'!$G$220" max="500" min="10" page="10" val="154"/>
</file>

<file path=xl/ctrlProps/ctrlProp8.xml><?xml version="1.0" encoding="utf-8"?>
<formControlPr xmlns="http://schemas.microsoft.com/office/spreadsheetml/2009/9/main" objectType="Spin" dx="31" fmlaLink="'Financial Model'!$G$148" max="30" min="25" page="10" val="28"/>
</file>

<file path=xl/ctrlProps/ctrlProp9.xml><?xml version="1.0" encoding="utf-8"?>
<formControlPr xmlns="http://schemas.microsoft.com/office/spreadsheetml/2009/9/main" objectType="Spin" dx="31" fmlaLink="'Financial Model'!$G$148" max="30" min="25" page="10" val="28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47273</xdr:colOff>
      <xdr:row>0</xdr:row>
      <xdr:rowOff>36336</xdr:rowOff>
    </xdr:from>
    <xdr:to>
      <xdr:col>14</xdr:col>
      <xdr:colOff>352073</xdr:colOff>
      <xdr:row>17</xdr:row>
      <xdr:rowOff>49742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373943</xdr:colOff>
      <xdr:row>0</xdr:row>
      <xdr:rowOff>7761</xdr:rowOff>
    </xdr:from>
    <xdr:to>
      <xdr:col>22</xdr:col>
      <xdr:colOff>183444</xdr:colOff>
      <xdr:row>17</xdr:row>
      <xdr:rowOff>49389</xdr:rowOff>
    </xdr:to>
    <xdr:graphicFrame macro="">
      <xdr:nvGraphicFramePr>
        <xdr:cNvPr id="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482600</xdr:colOff>
          <xdr:row>18</xdr:row>
          <xdr:rowOff>31750</xdr:rowOff>
        </xdr:from>
        <xdr:to>
          <xdr:col>17</xdr:col>
          <xdr:colOff>273050</xdr:colOff>
          <xdr:row>19</xdr:row>
          <xdr:rowOff>69850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584200</xdr:colOff>
          <xdr:row>18</xdr:row>
          <xdr:rowOff>31750</xdr:rowOff>
        </xdr:from>
        <xdr:to>
          <xdr:col>18</xdr:col>
          <xdr:colOff>184150</xdr:colOff>
          <xdr:row>19</xdr:row>
          <xdr:rowOff>38100</xdr:rowOff>
        </xdr:to>
        <xdr:sp macro="" textlink="">
          <xdr:nvSpPr>
            <xdr:cNvPr id="18435" name="Spinner 3" hidden="1">
              <a:extLst>
                <a:ext uri="{63B3BB69-23CF-44E3-9099-C40C66FF867C}">
                  <a14:compatExt spid="_x0000_s18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158750</xdr:colOff>
          <xdr:row>1</xdr:row>
          <xdr:rowOff>25400</xdr:rowOff>
        </xdr:from>
        <xdr:to>
          <xdr:col>5</xdr:col>
          <xdr:colOff>285750</xdr:colOff>
          <xdr:row>1</xdr:row>
          <xdr:rowOff>101600</xdr:rowOff>
        </xdr:to>
        <xdr:sp macro="" textlink="">
          <xdr:nvSpPr>
            <xdr:cNvPr id="18436" name="Spinner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158750</xdr:colOff>
          <xdr:row>2</xdr:row>
          <xdr:rowOff>57150</xdr:rowOff>
        </xdr:from>
        <xdr:to>
          <xdr:col>5</xdr:col>
          <xdr:colOff>285750</xdr:colOff>
          <xdr:row>2</xdr:row>
          <xdr:rowOff>133350</xdr:rowOff>
        </xdr:to>
        <xdr:sp macro="" textlink="">
          <xdr:nvSpPr>
            <xdr:cNvPr id="18437" name="Spinner 5" hidden="1">
              <a:extLst>
                <a:ext uri="{63B3BB69-23CF-44E3-9099-C40C66FF867C}">
                  <a14:compatExt spid="_x0000_s184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152400</xdr:colOff>
          <xdr:row>3</xdr:row>
          <xdr:rowOff>82550</xdr:rowOff>
        </xdr:from>
        <xdr:to>
          <xdr:col>5</xdr:col>
          <xdr:colOff>279400</xdr:colOff>
          <xdr:row>3</xdr:row>
          <xdr:rowOff>158750</xdr:rowOff>
        </xdr:to>
        <xdr:sp macro="" textlink="">
          <xdr:nvSpPr>
            <xdr:cNvPr id="18438" name="Spinner 6" hidden="1">
              <a:extLst>
                <a:ext uri="{63B3BB69-23CF-44E3-9099-C40C66FF867C}">
                  <a14:compatExt spid="_x0000_s184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146050</xdr:colOff>
          <xdr:row>4</xdr:row>
          <xdr:rowOff>88900</xdr:rowOff>
        </xdr:from>
        <xdr:to>
          <xdr:col>5</xdr:col>
          <xdr:colOff>285750</xdr:colOff>
          <xdr:row>5</xdr:row>
          <xdr:rowOff>6350</xdr:rowOff>
        </xdr:to>
        <xdr:sp macro="" textlink="">
          <xdr:nvSpPr>
            <xdr:cNvPr id="18439" name="Spinner 7" hidden="1">
              <a:extLst>
                <a:ext uri="{63B3BB69-23CF-44E3-9099-C40C66FF867C}">
                  <a14:compatExt spid="_x0000_s184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50800</xdr:colOff>
          <xdr:row>4</xdr:row>
          <xdr:rowOff>38100</xdr:rowOff>
        </xdr:from>
        <xdr:to>
          <xdr:col>6</xdr:col>
          <xdr:colOff>209550</xdr:colOff>
          <xdr:row>4</xdr:row>
          <xdr:rowOff>146050</xdr:rowOff>
        </xdr:to>
        <xdr:sp macro="" textlink="">
          <xdr:nvSpPr>
            <xdr:cNvPr id="18440" name="Spinner 8" hidden="1">
              <a:extLst>
                <a:ext uri="{63B3BB69-23CF-44E3-9099-C40C66FF867C}">
                  <a14:compatExt spid="_x0000_s184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63500</xdr:colOff>
          <xdr:row>2</xdr:row>
          <xdr:rowOff>25400</xdr:rowOff>
        </xdr:from>
        <xdr:to>
          <xdr:col>6</xdr:col>
          <xdr:colOff>228600</xdr:colOff>
          <xdr:row>2</xdr:row>
          <xdr:rowOff>133350</xdr:rowOff>
        </xdr:to>
        <xdr:sp macro="" textlink="">
          <xdr:nvSpPr>
            <xdr:cNvPr id="18441" name="Spinner 9" hidden="1">
              <a:extLst>
                <a:ext uri="{63B3BB69-23CF-44E3-9099-C40C66FF867C}">
                  <a14:compatExt spid="_x0000_s184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57150</xdr:colOff>
          <xdr:row>3</xdr:row>
          <xdr:rowOff>25400</xdr:rowOff>
        </xdr:from>
        <xdr:to>
          <xdr:col>6</xdr:col>
          <xdr:colOff>222250</xdr:colOff>
          <xdr:row>3</xdr:row>
          <xdr:rowOff>127000</xdr:rowOff>
        </xdr:to>
        <xdr:sp macro="" textlink="">
          <xdr:nvSpPr>
            <xdr:cNvPr id="18442" name="Spinner 10" hidden="1">
              <a:extLst>
                <a:ext uri="{63B3BB69-23CF-44E3-9099-C40C66FF867C}">
                  <a14:compatExt spid="_x0000_s184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69850</xdr:colOff>
          <xdr:row>1</xdr:row>
          <xdr:rowOff>6350</xdr:rowOff>
        </xdr:from>
        <xdr:to>
          <xdr:col>6</xdr:col>
          <xdr:colOff>234950</xdr:colOff>
          <xdr:row>1</xdr:row>
          <xdr:rowOff>107950</xdr:rowOff>
        </xdr:to>
        <xdr:sp macro="" textlink="">
          <xdr:nvSpPr>
            <xdr:cNvPr id="18443" name="Spinner 11" hidden="1">
              <a:extLst>
                <a:ext uri="{63B3BB69-23CF-44E3-9099-C40C66FF867C}">
                  <a14:compatExt spid="_x0000_s184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120650</xdr:colOff>
          <xdr:row>9</xdr:row>
          <xdr:rowOff>158750</xdr:rowOff>
        </xdr:from>
        <xdr:to>
          <xdr:col>5</xdr:col>
          <xdr:colOff>349250</xdr:colOff>
          <xdr:row>10</xdr:row>
          <xdr:rowOff>120650</xdr:rowOff>
        </xdr:to>
        <xdr:sp macro="" textlink="">
          <xdr:nvSpPr>
            <xdr:cNvPr id="18445" name="Spinner 13" hidden="1">
              <a:extLst>
                <a:ext uri="{63B3BB69-23CF-44E3-9099-C40C66FF867C}">
                  <a14:compatExt spid="_x0000_s184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114300</xdr:colOff>
          <xdr:row>11</xdr:row>
          <xdr:rowOff>12700</xdr:rowOff>
        </xdr:from>
        <xdr:to>
          <xdr:col>5</xdr:col>
          <xdr:colOff>342900</xdr:colOff>
          <xdr:row>11</xdr:row>
          <xdr:rowOff>127000</xdr:rowOff>
        </xdr:to>
        <xdr:sp macro="" textlink="">
          <xdr:nvSpPr>
            <xdr:cNvPr id="18447" name="Spinner 15" hidden="1">
              <a:extLst>
                <a:ext uri="{63B3BB69-23CF-44E3-9099-C40C66FF867C}">
                  <a14:compatExt spid="_x0000_s184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114300</xdr:colOff>
          <xdr:row>12</xdr:row>
          <xdr:rowOff>44450</xdr:rowOff>
        </xdr:from>
        <xdr:to>
          <xdr:col>5</xdr:col>
          <xdr:colOff>342900</xdr:colOff>
          <xdr:row>13</xdr:row>
          <xdr:rowOff>6350</xdr:rowOff>
        </xdr:to>
        <xdr:sp macro="" textlink="">
          <xdr:nvSpPr>
            <xdr:cNvPr id="18448" name="Spinner 16" hidden="1">
              <a:extLst>
                <a:ext uri="{63B3BB69-23CF-44E3-9099-C40C66FF867C}">
                  <a14:compatExt spid="_x0000_s184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95250</xdr:colOff>
          <xdr:row>7</xdr:row>
          <xdr:rowOff>12700</xdr:rowOff>
        </xdr:from>
        <xdr:to>
          <xdr:col>5</xdr:col>
          <xdr:colOff>323850</xdr:colOff>
          <xdr:row>7</xdr:row>
          <xdr:rowOff>133350</xdr:rowOff>
        </xdr:to>
        <xdr:sp macro="" textlink="">
          <xdr:nvSpPr>
            <xdr:cNvPr id="18449" name="Spinner 17" hidden="1">
              <a:extLst>
                <a:ext uri="{63B3BB69-23CF-44E3-9099-C40C66FF867C}">
                  <a14:compatExt spid="_x0000_s184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101600</xdr:colOff>
          <xdr:row>8</xdr:row>
          <xdr:rowOff>31750</xdr:rowOff>
        </xdr:from>
        <xdr:to>
          <xdr:col>5</xdr:col>
          <xdr:colOff>330200</xdr:colOff>
          <xdr:row>8</xdr:row>
          <xdr:rowOff>158750</xdr:rowOff>
        </xdr:to>
        <xdr:sp macro="" textlink="">
          <xdr:nvSpPr>
            <xdr:cNvPr id="18450" name="Spinner 18" hidden="1">
              <a:extLst>
                <a:ext uri="{63B3BB69-23CF-44E3-9099-C40C66FF867C}">
                  <a14:compatExt spid="_x0000_s184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495300</xdr:colOff>
          <xdr:row>34</xdr:row>
          <xdr:rowOff>63500</xdr:rowOff>
        </xdr:from>
        <xdr:to>
          <xdr:col>7</xdr:col>
          <xdr:colOff>76200</xdr:colOff>
          <xdr:row>35</xdr:row>
          <xdr:rowOff>69850</xdr:rowOff>
        </xdr:to>
        <xdr:sp macro="" textlink="">
          <xdr:nvSpPr>
            <xdr:cNvPr id="18451" name="Spinner 19" hidden="1">
              <a:extLst>
                <a:ext uri="{63B3BB69-23CF-44E3-9099-C40C66FF867C}">
                  <a14:compatExt spid="_x0000_s184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520700</xdr:colOff>
          <xdr:row>18</xdr:row>
          <xdr:rowOff>158750</xdr:rowOff>
        </xdr:from>
        <xdr:to>
          <xdr:col>11</xdr:col>
          <xdr:colOff>38100</xdr:colOff>
          <xdr:row>20</xdr:row>
          <xdr:rowOff>25400</xdr:rowOff>
        </xdr:to>
        <xdr:sp macro="" textlink="">
          <xdr:nvSpPr>
            <xdr:cNvPr id="18452" name="Drop Down 20" hidden="1">
              <a:extLst>
                <a:ext uri="{63B3BB69-23CF-44E3-9099-C40C66FF867C}">
                  <a14:compatExt spid="_x0000_s184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50800</xdr:colOff>
          <xdr:row>139</xdr:row>
          <xdr:rowOff>0</xdr:rowOff>
        </xdr:from>
        <xdr:to>
          <xdr:col>4</xdr:col>
          <xdr:colOff>292100</xdr:colOff>
          <xdr:row>140</xdr:row>
          <xdr:rowOff>12700</xdr:rowOff>
        </xdr:to>
        <xdr:sp macro="" textlink="">
          <xdr:nvSpPr>
            <xdr:cNvPr id="2056" name="Spinner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50800</xdr:colOff>
          <xdr:row>142</xdr:row>
          <xdr:rowOff>0</xdr:rowOff>
        </xdr:from>
        <xdr:to>
          <xdr:col>4</xdr:col>
          <xdr:colOff>292100</xdr:colOff>
          <xdr:row>143</xdr:row>
          <xdr:rowOff>12700</xdr:rowOff>
        </xdr:to>
        <xdr:sp macro="" textlink="">
          <xdr:nvSpPr>
            <xdr:cNvPr id="2057" name="Spinner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50800</xdr:colOff>
          <xdr:row>146</xdr:row>
          <xdr:rowOff>0</xdr:rowOff>
        </xdr:from>
        <xdr:to>
          <xdr:col>4</xdr:col>
          <xdr:colOff>292100</xdr:colOff>
          <xdr:row>147</xdr:row>
          <xdr:rowOff>12700</xdr:rowOff>
        </xdr:to>
        <xdr:sp macro="" textlink="">
          <xdr:nvSpPr>
            <xdr:cNvPr id="2058" name="Spinner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50800</xdr:colOff>
          <xdr:row>150</xdr:row>
          <xdr:rowOff>0</xdr:rowOff>
        </xdr:from>
        <xdr:to>
          <xdr:col>4</xdr:col>
          <xdr:colOff>292100</xdr:colOff>
          <xdr:row>151</xdr:row>
          <xdr:rowOff>12700</xdr:rowOff>
        </xdr:to>
        <xdr:sp macro="" textlink="">
          <xdr:nvSpPr>
            <xdr:cNvPr id="2059" name="Spinner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158750</xdr:colOff>
          <xdr:row>138</xdr:row>
          <xdr:rowOff>152400</xdr:rowOff>
        </xdr:from>
        <xdr:to>
          <xdr:col>6</xdr:col>
          <xdr:colOff>381000</xdr:colOff>
          <xdr:row>139</xdr:row>
          <xdr:rowOff>158750</xdr:rowOff>
        </xdr:to>
        <xdr:sp macro="" textlink="">
          <xdr:nvSpPr>
            <xdr:cNvPr id="2060" name="Spinner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120650</xdr:colOff>
          <xdr:row>146</xdr:row>
          <xdr:rowOff>0</xdr:rowOff>
        </xdr:from>
        <xdr:to>
          <xdr:col>6</xdr:col>
          <xdr:colOff>342900</xdr:colOff>
          <xdr:row>147</xdr:row>
          <xdr:rowOff>6350</xdr:rowOff>
        </xdr:to>
        <xdr:sp macro="" textlink="">
          <xdr:nvSpPr>
            <xdr:cNvPr id="2061" name="Spinner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120650</xdr:colOff>
          <xdr:row>150</xdr:row>
          <xdr:rowOff>0</xdr:rowOff>
        </xdr:from>
        <xdr:to>
          <xdr:col>6</xdr:col>
          <xdr:colOff>342900</xdr:colOff>
          <xdr:row>151</xdr:row>
          <xdr:rowOff>6350</xdr:rowOff>
        </xdr:to>
        <xdr:sp macro="" textlink="">
          <xdr:nvSpPr>
            <xdr:cNvPr id="2062" name="Spinner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50800</xdr:colOff>
          <xdr:row>218</xdr:row>
          <xdr:rowOff>0</xdr:rowOff>
        </xdr:from>
        <xdr:to>
          <xdr:col>4</xdr:col>
          <xdr:colOff>292100</xdr:colOff>
          <xdr:row>219</xdr:row>
          <xdr:rowOff>12700</xdr:rowOff>
        </xdr:to>
        <xdr:sp macro="" textlink="">
          <xdr:nvSpPr>
            <xdr:cNvPr id="2063" name="Spinner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50800</xdr:colOff>
          <xdr:row>218</xdr:row>
          <xdr:rowOff>0</xdr:rowOff>
        </xdr:from>
        <xdr:to>
          <xdr:col>6</xdr:col>
          <xdr:colOff>292100</xdr:colOff>
          <xdr:row>219</xdr:row>
          <xdr:rowOff>12700</xdr:rowOff>
        </xdr:to>
        <xdr:sp macro="" textlink="">
          <xdr:nvSpPr>
            <xdr:cNvPr id="2064" name="Spinner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984250</xdr:colOff>
          <xdr:row>52</xdr:row>
          <xdr:rowOff>152400</xdr:rowOff>
        </xdr:from>
        <xdr:to>
          <xdr:col>7</xdr:col>
          <xdr:colOff>946150</xdr:colOff>
          <xdr:row>54</xdr:row>
          <xdr:rowOff>19050</xdr:rowOff>
        </xdr:to>
        <xdr:sp macro="" textlink="">
          <xdr:nvSpPr>
            <xdr:cNvPr id="14337" name="Drop Down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152400</xdr:colOff>
          <xdr:row>5</xdr:row>
          <xdr:rowOff>0</xdr:rowOff>
        </xdr:from>
        <xdr:to>
          <xdr:col>5</xdr:col>
          <xdr:colOff>501650</xdr:colOff>
          <xdr:row>6</xdr:row>
          <xdr:rowOff>0</xdr:rowOff>
        </xdr:to>
        <xdr:sp macro="" textlink="">
          <xdr:nvSpPr>
            <xdr:cNvPr id="14338" name="Spinner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152400</xdr:colOff>
          <xdr:row>18</xdr:row>
          <xdr:rowOff>0</xdr:rowOff>
        </xdr:from>
        <xdr:to>
          <xdr:col>5</xdr:col>
          <xdr:colOff>501650</xdr:colOff>
          <xdr:row>19</xdr:row>
          <xdr:rowOff>0</xdr:rowOff>
        </xdr:to>
        <xdr:sp macro="" textlink="">
          <xdr:nvSpPr>
            <xdr:cNvPr id="14339" name="Spinner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152400</xdr:colOff>
          <xdr:row>19</xdr:row>
          <xdr:rowOff>0</xdr:rowOff>
        </xdr:from>
        <xdr:to>
          <xdr:col>5</xdr:col>
          <xdr:colOff>501650</xdr:colOff>
          <xdr:row>20</xdr:row>
          <xdr:rowOff>0</xdr:rowOff>
        </xdr:to>
        <xdr:sp macro="" textlink="">
          <xdr:nvSpPr>
            <xdr:cNvPr id="14340" name="Spinner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152400</xdr:colOff>
          <xdr:row>2</xdr:row>
          <xdr:rowOff>0</xdr:rowOff>
        </xdr:from>
        <xdr:to>
          <xdr:col>5</xdr:col>
          <xdr:colOff>501650</xdr:colOff>
          <xdr:row>3</xdr:row>
          <xdr:rowOff>0</xdr:rowOff>
        </xdr:to>
        <xdr:sp macro="" textlink="">
          <xdr:nvSpPr>
            <xdr:cNvPr id="14341" name="Spinner 5" hidden="1">
              <a:extLst>
                <a:ext uri="{63B3BB69-23CF-44E3-9099-C40C66FF867C}">
                  <a14:compatExt spid="_x0000_s143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152400</xdr:colOff>
          <xdr:row>24</xdr:row>
          <xdr:rowOff>0</xdr:rowOff>
        </xdr:from>
        <xdr:to>
          <xdr:col>5</xdr:col>
          <xdr:colOff>501650</xdr:colOff>
          <xdr:row>25</xdr:row>
          <xdr:rowOff>0</xdr:rowOff>
        </xdr:to>
        <xdr:sp macro="" textlink="">
          <xdr:nvSpPr>
            <xdr:cNvPr id="14342" name="Spinner 6" hidden="1">
              <a:extLst>
                <a:ext uri="{63B3BB69-23CF-44E3-9099-C40C66FF867C}">
                  <a14:compatExt spid="_x0000_s143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933450</xdr:colOff>
          <xdr:row>0</xdr:row>
          <xdr:rowOff>120650</xdr:rowOff>
        </xdr:from>
        <xdr:to>
          <xdr:col>5</xdr:col>
          <xdr:colOff>317500</xdr:colOff>
          <xdr:row>1</xdr:row>
          <xdr:rowOff>165100</xdr:rowOff>
        </xdr:to>
        <xdr:sp macro="" textlink="">
          <xdr:nvSpPr>
            <xdr:cNvPr id="17430" name="Drop Down 22" hidden="1">
              <a:extLst>
                <a:ext uri="{63B3BB69-23CF-44E3-9099-C40C66FF867C}">
                  <a14:compatExt spid="_x0000_s174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577850</xdr:colOff>
          <xdr:row>68</xdr:row>
          <xdr:rowOff>69850</xdr:rowOff>
        </xdr:from>
        <xdr:to>
          <xdr:col>6</xdr:col>
          <xdr:colOff>368300</xdr:colOff>
          <xdr:row>69</xdr:row>
          <xdr:rowOff>120650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139700</xdr:colOff>
          <xdr:row>69</xdr:row>
          <xdr:rowOff>133350</xdr:rowOff>
        </xdr:from>
        <xdr:to>
          <xdr:col>9</xdr:col>
          <xdr:colOff>342900</xdr:colOff>
          <xdr:row>70</xdr:row>
          <xdr:rowOff>152400</xdr:rowOff>
        </xdr:to>
        <xdr:sp macro="" textlink="">
          <xdr:nvSpPr>
            <xdr:cNvPr id="11266" name="Spinner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4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10" Type="http://schemas.openxmlformats.org/officeDocument/2006/relationships/ctrlProp" Target="../ctrlProps/ctrlProp8.xml"/><Relationship Id="rId19" Type="http://schemas.openxmlformats.org/officeDocument/2006/relationships/ctrlProp" Target="../ctrlProps/ctrlProp17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21.xml"/><Relationship Id="rId12" Type="http://schemas.openxmlformats.org/officeDocument/2006/relationships/ctrlProp" Target="../ctrlProps/ctrlProp2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0.xml"/><Relationship Id="rId11" Type="http://schemas.openxmlformats.org/officeDocument/2006/relationships/ctrlProp" Target="../ctrlProps/ctrlProp25.xml"/><Relationship Id="rId5" Type="http://schemas.openxmlformats.org/officeDocument/2006/relationships/ctrlProp" Target="../ctrlProps/ctrlProp19.xml"/><Relationship Id="rId10" Type="http://schemas.openxmlformats.org/officeDocument/2006/relationships/ctrlProp" Target="../ctrlProps/ctrlProp24.xml"/><Relationship Id="rId4" Type="http://schemas.openxmlformats.org/officeDocument/2006/relationships/ctrlProp" Target="../ctrlProps/ctrlProp18.xml"/><Relationship Id="rId9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2.xml"/><Relationship Id="rId3" Type="http://schemas.openxmlformats.org/officeDocument/2006/relationships/ctrlProp" Target="../ctrlProps/ctrlProp27.xml"/><Relationship Id="rId7" Type="http://schemas.openxmlformats.org/officeDocument/2006/relationships/ctrlProp" Target="../ctrlProps/ctrlProp31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30.xml"/><Relationship Id="rId5" Type="http://schemas.openxmlformats.org/officeDocument/2006/relationships/ctrlProp" Target="../ctrlProps/ctrlProp29.xml"/><Relationship Id="rId4" Type="http://schemas.openxmlformats.org/officeDocument/2006/relationships/ctrlProp" Target="../ctrlProps/ctrlProp2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3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4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4" Type="http://schemas.openxmlformats.org/officeDocument/2006/relationships/ctrlProp" Target="../ctrlProps/ctrlProp3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/>
  <dimension ref="A1:I25"/>
  <sheetViews>
    <sheetView showGridLines="0" tabSelected="1" zoomScale="90" zoomScaleNormal="90" workbookViewId="0">
      <selection activeCell="P23" sqref="P23"/>
    </sheetView>
  </sheetViews>
  <sheetFormatPr defaultRowHeight="12.5" x14ac:dyDescent="0.25"/>
  <cols>
    <col min="1" max="3" width="1.6328125" customWidth="1"/>
    <col min="4" max="4" width="16.26953125" customWidth="1"/>
    <col min="5" max="5" width="15.08984375" bestFit="1" customWidth="1"/>
    <col min="7" max="7" width="11" bestFit="1" customWidth="1"/>
  </cols>
  <sheetData>
    <row r="1" spans="1:7" x14ac:dyDescent="0.25">
      <c r="A1" s="1" t="s">
        <v>122</v>
      </c>
      <c r="F1" t="s">
        <v>180</v>
      </c>
      <c r="G1" t="s">
        <v>373</v>
      </c>
    </row>
    <row r="2" spans="1:7" x14ac:dyDescent="0.25">
      <c r="B2" s="1" t="s">
        <v>123</v>
      </c>
      <c r="F2">
        <f>'Financial Model'!E140</f>
        <v>3</v>
      </c>
      <c r="G2" s="59">
        <f>'Financial Model'!G140</f>
        <v>1.1000000000000001</v>
      </c>
    </row>
    <row r="3" spans="1:7" x14ac:dyDescent="0.25">
      <c r="B3" s="1" t="s">
        <v>366</v>
      </c>
      <c r="F3">
        <f>'Financial Model'!$E$147</f>
        <v>3</v>
      </c>
      <c r="G3" s="71">
        <f>'Financial Model'!$G$147</f>
        <v>0.28000000000000003</v>
      </c>
    </row>
    <row r="4" spans="1:7" x14ac:dyDescent="0.25">
      <c r="B4" s="1" t="s">
        <v>367</v>
      </c>
      <c r="F4">
        <f>'Financial Model'!$E$151</f>
        <v>3</v>
      </c>
      <c r="G4" s="71">
        <f>'Financial Model'!$G$151</f>
        <v>0.1</v>
      </c>
    </row>
    <row r="5" spans="1:7" x14ac:dyDescent="0.25">
      <c r="B5" s="1" t="s">
        <v>328</v>
      </c>
      <c r="F5">
        <f>'Financial Model'!$E$219</f>
        <v>3</v>
      </c>
      <c r="G5" s="58">
        <f>'Financial Model'!$G$220</f>
        <v>154</v>
      </c>
    </row>
    <row r="7" spans="1:7" x14ac:dyDescent="0.25">
      <c r="A7" s="1" t="s">
        <v>369</v>
      </c>
    </row>
    <row r="8" spans="1:7" x14ac:dyDescent="0.25">
      <c r="B8" s="1" t="s">
        <v>296</v>
      </c>
      <c r="E8">
        <f>'Structuring Assumptions'!E20</f>
        <v>6</v>
      </c>
    </row>
    <row r="9" spans="1:7" x14ac:dyDescent="0.25">
      <c r="B9" s="1" t="s">
        <v>370</v>
      </c>
      <c r="E9">
        <f>'Structuring Assumptions'!E3</f>
        <v>2014</v>
      </c>
    </row>
    <row r="11" spans="1:7" x14ac:dyDescent="0.25">
      <c r="B11" s="1" t="s">
        <v>368</v>
      </c>
      <c r="E11" s="3">
        <f>'Structuring Assumptions'!E6</f>
        <v>8</v>
      </c>
    </row>
    <row r="12" spans="1:7" x14ac:dyDescent="0.25">
      <c r="B12" s="1" t="s">
        <v>292</v>
      </c>
      <c r="E12" s="3">
        <f>'Structuring Assumptions'!E27</f>
        <v>6.7113558086962817</v>
      </c>
    </row>
    <row r="13" spans="1:7" x14ac:dyDescent="0.25">
      <c r="B13" s="1" t="s">
        <v>371</v>
      </c>
      <c r="E13" s="3">
        <f>'Structuring Assumptions'!E19</f>
        <v>7</v>
      </c>
    </row>
    <row r="15" spans="1:7" ht="13" x14ac:dyDescent="0.3">
      <c r="A15" s="4"/>
      <c r="B15" s="1" t="s">
        <v>298</v>
      </c>
      <c r="C15" s="1"/>
      <c r="D15" s="1"/>
    </row>
    <row r="16" spans="1:7" ht="13" x14ac:dyDescent="0.3">
      <c r="A16" s="4"/>
      <c r="B16" s="1"/>
      <c r="C16" s="1" t="s">
        <v>301</v>
      </c>
      <c r="D16" s="1"/>
      <c r="E16" s="58">
        <f>'Structuring Assumptions'!E40</f>
        <v>8825558800.5394535</v>
      </c>
    </row>
    <row r="17" spans="1:9" ht="13" x14ac:dyDescent="0.3">
      <c r="A17" s="4"/>
      <c r="B17" s="1"/>
      <c r="C17" s="1" t="s">
        <v>318</v>
      </c>
      <c r="D17" s="1"/>
      <c r="E17" s="58">
        <f>'Structuring Assumptions'!E41</f>
        <v>132383382.00809179</v>
      </c>
    </row>
    <row r="18" spans="1:9" ht="13" x14ac:dyDescent="0.3">
      <c r="A18" s="4"/>
      <c r="B18" s="1"/>
      <c r="C18" s="1" t="s">
        <v>319</v>
      </c>
      <c r="D18" s="1"/>
      <c r="E18" s="58">
        <f>'Structuring Assumptions'!E42</f>
        <v>144739164.32884702</v>
      </c>
    </row>
    <row r="19" spans="1:9" ht="13.5" thickBot="1" x14ac:dyDescent="0.35">
      <c r="A19" s="4"/>
      <c r="B19" s="1"/>
      <c r="C19" s="1"/>
      <c r="D19" s="48" t="s">
        <v>199</v>
      </c>
      <c r="E19" s="82">
        <f>'Structuring Assumptions'!E43</f>
        <v>9102681346.8763924</v>
      </c>
    </row>
    <row r="20" spans="1:9" ht="13.5" thickTop="1" x14ac:dyDescent="0.3">
      <c r="A20" s="4"/>
      <c r="B20" s="1"/>
      <c r="C20" s="1"/>
      <c r="D20" s="1"/>
      <c r="E20" s="58"/>
      <c r="G20" s="1" t="s">
        <v>304</v>
      </c>
    </row>
    <row r="21" spans="1:9" ht="13" x14ac:dyDescent="0.3">
      <c r="A21" s="4"/>
      <c r="B21" s="1" t="s">
        <v>299</v>
      </c>
      <c r="C21" s="1"/>
      <c r="D21" s="1"/>
      <c r="E21" s="58"/>
      <c r="F21" s="59"/>
    </row>
    <row r="22" spans="1:9" ht="13" x14ac:dyDescent="0.3">
      <c r="A22" s="4"/>
      <c r="B22" s="1"/>
      <c r="C22" s="1" t="s">
        <v>259</v>
      </c>
      <c r="D22" s="1"/>
      <c r="E22" s="58">
        <f>'Structuring Assumptions'!E46</f>
        <v>7236958216.4423513</v>
      </c>
      <c r="G22" s="1" t="s">
        <v>372</v>
      </c>
    </row>
    <row r="23" spans="1:9" ht="13" x14ac:dyDescent="0.3">
      <c r="A23" s="4"/>
      <c r="B23" s="1"/>
      <c r="C23" s="1" t="s">
        <v>107</v>
      </c>
      <c r="D23" s="1"/>
      <c r="E23" s="58">
        <f>'Structuring Assumptions'!E47</f>
        <v>1865723130.434041</v>
      </c>
    </row>
    <row r="24" spans="1:9" ht="13.5" thickBot="1" x14ac:dyDescent="0.35">
      <c r="A24" s="4"/>
      <c r="B24" s="1"/>
      <c r="C24" s="1"/>
      <c r="D24" s="48" t="s">
        <v>199</v>
      </c>
      <c r="E24" s="82">
        <f>'Structuring Assumptions'!E48</f>
        <v>9102681346.8763924</v>
      </c>
      <c r="G24" s="1" t="s">
        <v>363</v>
      </c>
      <c r="I24" s="71">
        <f>'Acquisition Model'!G131</f>
        <v>0.23037352718546766</v>
      </c>
    </row>
    <row r="25" spans="1:9" ht="13" thickTop="1" x14ac:dyDescent="0.25">
      <c r="G25" s="1"/>
    </row>
  </sheetData>
  <dataValidations count="1">
    <dataValidation type="list" allowBlank="1" showInputMessage="1" showErrorMessage="1" promptTitle="Assumption Method" prompt="1. Average of Historic Data_x000a_2. Priod Historic Value_x000a_3. Direct Input to Left" sqref="F2:F4">
      <formula1>#REF!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4" r:id="rId3" name="Drop Down 2">
              <controlPr defaultSize="0" autoLine="0" autoPict="0">
                <anchor moveWithCells="1">
                  <from>
                    <xdr:col>14</xdr:col>
                    <xdr:colOff>482600</xdr:colOff>
                    <xdr:row>18</xdr:row>
                    <xdr:rowOff>31750</xdr:rowOff>
                  </from>
                  <to>
                    <xdr:col>17</xdr:col>
                    <xdr:colOff>273050</xdr:colOff>
                    <xdr:row>19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4" name="Spinner 3">
              <controlPr defaultSize="0" autoPict="0">
                <anchor moveWithCells="1" sizeWithCells="1">
                  <from>
                    <xdr:col>17</xdr:col>
                    <xdr:colOff>584200</xdr:colOff>
                    <xdr:row>18</xdr:row>
                    <xdr:rowOff>31750</xdr:rowOff>
                  </from>
                  <to>
                    <xdr:col>18</xdr:col>
                    <xdr:colOff>184150</xdr:colOff>
                    <xdr:row>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5" name="Spinner 4">
              <controlPr defaultSize="0" autoPict="0">
                <anchor moveWithCells="1" sizeWithCells="1">
                  <from>
                    <xdr:col>5</xdr:col>
                    <xdr:colOff>158750</xdr:colOff>
                    <xdr:row>1</xdr:row>
                    <xdr:rowOff>25400</xdr:rowOff>
                  </from>
                  <to>
                    <xdr:col>5</xdr:col>
                    <xdr:colOff>285750</xdr:colOff>
                    <xdr:row>1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7" r:id="rId6" name="Spinner 5">
              <controlPr defaultSize="0" autoPict="0">
                <anchor moveWithCells="1" sizeWithCells="1">
                  <from>
                    <xdr:col>5</xdr:col>
                    <xdr:colOff>158750</xdr:colOff>
                    <xdr:row>2</xdr:row>
                    <xdr:rowOff>57150</xdr:rowOff>
                  </from>
                  <to>
                    <xdr:col>5</xdr:col>
                    <xdr:colOff>285750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8" r:id="rId7" name="Spinner 6">
              <controlPr defaultSize="0" autoPict="0">
                <anchor moveWithCells="1" sizeWithCells="1">
                  <from>
                    <xdr:col>5</xdr:col>
                    <xdr:colOff>152400</xdr:colOff>
                    <xdr:row>3</xdr:row>
                    <xdr:rowOff>82550</xdr:rowOff>
                  </from>
                  <to>
                    <xdr:col>5</xdr:col>
                    <xdr:colOff>279400</xdr:colOff>
                    <xdr:row>3</xdr:row>
                    <xdr:rowOff>158750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9" r:id="rId8" name="Spinner 7">
              <controlPr defaultSize="0" autoPict="0">
                <anchor moveWithCells="1" sizeWithCells="1">
                  <from>
                    <xdr:col>5</xdr:col>
                    <xdr:colOff>146050</xdr:colOff>
                    <xdr:row>4</xdr:row>
                    <xdr:rowOff>88900</xdr:rowOff>
                  </from>
                  <to>
                    <xdr:col>5</xdr:col>
                    <xdr:colOff>285750</xdr:colOff>
                    <xdr:row>5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0" r:id="rId9" name="Spinner 8">
              <controlPr defaultSize="0" autoPict="0">
                <anchor moveWithCells="1" sizeWithCells="1">
                  <from>
                    <xdr:col>6</xdr:col>
                    <xdr:colOff>50800</xdr:colOff>
                    <xdr:row>4</xdr:row>
                    <xdr:rowOff>38100</xdr:rowOff>
                  </from>
                  <to>
                    <xdr:col>6</xdr:col>
                    <xdr:colOff>209550</xdr:colOff>
                    <xdr:row>4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1" r:id="rId10" name="Spinner 9">
              <controlPr defaultSize="0" autoPict="0">
                <anchor moveWithCells="1" sizeWithCells="1">
                  <from>
                    <xdr:col>6</xdr:col>
                    <xdr:colOff>63500</xdr:colOff>
                    <xdr:row>2</xdr:row>
                    <xdr:rowOff>25400</xdr:rowOff>
                  </from>
                  <to>
                    <xdr:col>6</xdr:col>
                    <xdr:colOff>228600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2" r:id="rId11" name="Spinner 10">
              <controlPr defaultSize="0" autoPict="0">
                <anchor moveWithCells="1" sizeWithCells="1">
                  <from>
                    <xdr:col>6</xdr:col>
                    <xdr:colOff>57150</xdr:colOff>
                    <xdr:row>3</xdr:row>
                    <xdr:rowOff>25400</xdr:rowOff>
                  </from>
                  <to>
                    <xdr:col>6</xdr:col>
                    <xdr:colOff>222250</xdr:colOff>
                    <xdr:row>3</xdr:row>
                    <xdr:rowOff>127000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3" r:id="rId12" name="Spinner 11">
              <controlPr defaultSize="0" autoPict="0">
                <anchor moveWithCells="1" sizeWithCells="1">
                  <from>
                    <xdr:col>6</xdr:col>
                    <xdr:colOff>69850</xdr:colOff>
                    <xdr:row>1</xdr:row>
                    <xdr:rowOff>6350</xdr:rowOff>
                  </from>
                  <to>
                    <xdr:col>6</xdr:col>
                    <xdr:colOff>234950</xdr:colOff>
                    <xdr:row>1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5" r:id="rId13" name="Spinner 13">
              <controlPr defaultSize="0" autoPict="0">
                <anchor moveWithCells="1" sizeWithCells="1">
                  <from>
                    <xdr:col>5</xdr:col>
                    <xdr:colOff>120650</xdr:colOff>
                    <xdr:row>9</xdr:row>
                    <xdr:rowOff>158750</xdr:rowOff>
                  </from>
                  <to>
                    <xdr:col>5</xdr:col>
                    <xdr:colOff>349250</xdr:colOff>
                    <xdr:row>10</xdr:row>
                    <xdr:rowOff>120650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7" r:id="rId14" name="Spinner 15">
              <controlPr defaultSize="0" autoPict="0">
                <anchor moveWithCells="1" sizeWithCells="1">
                  <from>
                    <xdr:col>5</xdr:col>
                    <xdr:colOff>114300</xdr:colOff>
                    <xdr:row>11</xdr:row>
                    <xdr:rowOff>12700</xdr:rowOff>
                  </from>
                  <to>
                    <xdr:col>5</xdr:col>
                    <xdr:colOff>342900</xdr:colOff>
                    <xdr:row>11</xdr:row>
                    <xdr:rowOff>127000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8" r:id="rId15" name="Spinner 16">
              <controlPr defaultSize="0" autoPict="0">
                <anchor moveWithCells="1" sizeWithCells="1">
                  <from>
                    <xdr:col>5</xdr:col>
                    <xdr:colOff>114300</xdr:colOff>
                    <xdr:row>12</xdr:row>
                    <xdr:rowOff>44450</xdr:rowOff>
                  </from>
                  <to>
                    <xdr:col>5</xdr:col>
                    <xdr:colOff>342900</xdr:colOff>
                    <xdr:row>13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9" r:id="rId16" name="Spinner 17">
              <controlPr defaultSize="0" autoPict="0">
                <anchor moveWithCells="1" sizeWithCells="1">
                  <from>
                    <xdr:col>5</xdr:col>
                    <xdr:colOff>95250</xdr:colOff>
                    <xdr:row>7</xdr:row>
                    <xdr:rowOff>12700</xdr:rowOff>
                  </from>
                  <to>
                    <xdr:col>5</xdr:col>
                    <xdr:colOff>323850</xdr:colOff>
                    <xdr:row>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0" r:id="rId17" name="Spinner 18">
              <controlPr defaultSize="0" autoPict="0">
                <anchor moveWithCells="1" sizeWithCells="1">
                  <from>
                    <xdr:col>5</xdr:col>
                    <xdr:colOff>101600</xdr:colOff>
                    <xdr:row>8</xdr:row>
                    <xdr:rowOff>31750</xdr:rowOff>
                  </from>
                  <to>
                    <xdr:col>5</xdr:col>
                    <xdr:colOff>330200</xdr:colOff>
                    <xdr:row>8</xdr:row>
                    <xdr:rowOff>158750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1" r:id="rId18" name="Spinner 19">
              <controlPr defaultSize="0" autoPict="0">
                <anchor moveWithCells="1" sizeWithCells="1">
                  <from>
                    <xdr:col>6</xdr:col>
                    <xdr:colOff>495300</xdr:colOff>
                    <xdr:row>34</xdr:row>
                    <xdr:rowOff>63500</xdr:rowOff>
                  </from>
                  <to>
                    <xdr:col>7</xdr:col>
                    <xdr:colOff>76200</xdr:colOff>
                    <xdr:row>35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2" r:id="rId19" name="Drop Down 20">
              <controlPr defaultSize="0" autoLine="0" autoPict="0">
                <anchor moveWithCells="1">
                  <from>
                    <xdr:col>7</xdr:col>
                    <xdr:colOff>520700</xdr:colOff>
                    <xdr:row>18</xdr:row>
                    <xdr:rowOff>158750</xdr:rowOff>
                  </from>
                  <to>
                    <xdr:col>11</xdr:col>
                    <xdr:colOff>38100</xdr:colOff>
                    <xdr:row>20</xdr:row>
                    <xdr:rowOff>25400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T387"/>
  <sheetViews>
    <sheetView zoomScale="80" zoomScaleNormal="80" workbookViewId="0">
      <pane xSplit="8" ySplit="3" topLeftCell="I4" activePane="bottomRight" state="frozen"/>
      <selection pane="topRight" activeCell="I1" sqref="I1"/>
      <selection pane="bottomLeft" activeCell="A4" sqref="A4"/>
      <selection pane="bottomRight" activeCell="D4" sqref="D4"/>
    </sheetView>
  </sheetViews>
  <sheetFormatPr defaultRowHeight="13" outlineLevelRow="1" x14ac:dyDescent="0.3"/>
  <cols>
    <col min="1" max="1" width="0.7265625" style="7" customWidth="1"/>
    <col min="2" max="3" width="0.7265625" style="6" customWidth="1"/>
    <col min="4" max="4" width="34" style="6" customWidth="1"/>
    <col min="5" max="5" width="10.08984375" style="6" customWidth="1"/>
    <col min="6" max="6" width="14.54296875" style="6" customWidth="1"/>
    <col min="7" max="7" width="15.6328125" style="6" customWidth="1"/>
    <col min="8" max="8" width="10.6328125" style="6" customWidth="1"/>
    <col min="9" max="21" width="17.7265625" style="6" customWidth="1"/>
    <col min="22" max="16384" width="8.7265625" style="6"/>
  </cols>
  <sheetData>
    <row r="1" spans="1:20" x14ac:dyDescent="0.3">
      <c r="A1" s="7" t="s">
        <v>124</v>
      </c>
      <c r="E1" s="6" t="s">
        <v>176</v>
      </c>
      <c r="G1" s="8" t="s">
        <v>177</v>
      </c>
    </row>
    <row r="2" spans="1:20" x14ac:dyDescent="0.3">
      <c r="C2" s="6" t="s">
        <v>126</v>
      </c>
      <c r="F2" s="6">
        <f>MATCH(FALSE,3:3,0)-1</f>
        <v>12</v>
      </c>
      <c r="I2" s="6">
        <f>YEAR(I7)</f>
        <v>2011</v>
      </c>
      <c r="J2" s="6">
        <f t="shared" ref="J2:L2" si="0">YEAR(J7)</f>
        <v>2012</v>
      </c>
      <c r="K2" s="6">
        <f t="shared" si="0"/>
        <v>2013</v>
      </c>
      <c r="L2" s="6">
        <f t="shared" si="0"/>
        <v>2014</v>
      </c>
      <c r="M2" s="25">
        <f>L2+1</f>
        <v>2015</v>
      </c>
      <c r="N2" s="25">
        <f t="shared" ref="N2:T2" si="1">M2+1</f>
        <v>2016</v>
      </c>
      <c r="O2" s="25">
        <f t="shared" si="1"/>
        <v>2017</v>
      </c>
      <c r="P2" s="25">
        <f t="shared" si="1"/>
        <v>2018</v>
      </c>
      <c r="Q2" s="25">
        <f t="shared" si="1"/>
        <v>2019</v>
      </c>
      <c r="R2" s="25">
        <f t="shared" si="1"/>
        <v>2020</v>
      </c>
      <c r="S2" s="25">
        <f t="shared" si="1"/>
        <v>2021</v>
      </c>
      <c r="T2" s="25">
        <f t="shared" si="1"/>
        <v>2022</v>
      </c>
    </row>
    <row r="3" spans="1:20" x14ac:dyDescent="0.3">
      <c r="C3" s="6" t="s">
        <v>125</v>
      </c>
      <c r="F3" s="34">
        <v>2014</v>
      </c>
      <c r="I3" s="6" t="b">
        <f>I2&lt;=$F$3</f>
        <v>1</v>
      </c>
      <c r="J3" s="6" t="b">
        <f t="shared" ref="J3:T3" si="2">J2&lt;=$F$3</f>
        <v>1</v>
      </c>
      <c r="K3" s="6" t="b">
        <f t="shared" si="2"/>
        <v>1</v>
      </c>
      <c r="L3" s="6" t="b">
        <f t="shared" si="2"/>
        <v>1</v>
      </c>
      <c r="M3" s="6" t="b">
        <f t="shared" si="2"/>
        <v>0</v>
      </c>
      <c r="N3" s="6" t="b">
        <f t="shared" si="2"/>
        <v>0</v>
      </c>
      <c r="O3" s="6" t="b">
        <f t="shared" si="2"/>
        <v>0</v>
      </c>
      <c r="P3" s="6" t="b">
        <f t="shared" si="2"/>
        <v>0</v>
      </c>
      <c r="Q3" s="6" t="b">
        <f t="shared" si="2"/>
        <v>0</v>
      </c>
      <c r="R3" s="6" t="b">
        <f t="shared" si="2"/>
        <v>0</v>
      </c>
      <c r="S3" s="6" t="b">
        <f t="shared" si="2"/>
        <v>0</v>
      </c>
      <c r="T3" s="6" t="b">
        <f t="shared" si="2"/>
        <v>0</v>
      </c>
    </row>
    <row r="4" spans="1:20" x14ac:dyDescent="0.3">
      <c r="A4" s="7" t="s">
        <v>121</v>
      </c>
      <c r="I4" s="13"/>
      <c r="J4" s="13"/>
    </row>
    <row r="5" spans="1:20" x14ac:dyDescent="0.3">
      <c r="D5" s="24" t="s">
        <v>0</v>
      </c>
      <c r="E5" s="24"/>
      <c r="F5" s="24"/>
      <c r="G5" s="24"/>
      <c r="H5" s="24"/>
    </row>
    <row r="6" spans="1:20" x14ac:dyDescent="0.3">
      <c r="D6" s="6" t="s">
        <v>1</v>
      </c>
      <c r="J6" s="8"/>
    </row>
    <row r="7" spans="1:20" x14ac:dyDescent="0.3">
      <c r="D7" s="9"/>
      <c r="E7" s="9"/>
      <c r="F7" s="9"/>
      <c r="G7" s="9"/>
      <c r="H7" s="9"/>
      <c r="I7" s="35">
        <v>40908</v>
      </c>
      <c r="J7" s="35">
        <v>41274</v>
      </c>
      <c r="K7" s="35">
        <v>41639</v>
      </c>
      <c r="L7" s="36">
        <v>42004</v>
      </c>
    </row>
    <row r="8" spans="1:20" x14ac:dyDescent="0.3">
      <c r="D8" s="6" t="s">
        <v>2</v>
      </c>
      <c r="I8" s="10"/>
      <c r="J8" s="10"/>
      <c r="L8" s="11"/>
    </row>
    <row r="9" spans="1:20" x14ac:dyDescent="0.3">
      <c r="D9" s="6" t="s">
        <v>3</v>
      </c>
      <c r="I9" s="49">
        <v>3784294503.7239799</v>
      </c>
      <c r="J9" s="49">
        <v>3884456768.0304799</v>
      </c>
      <c r="K9" s="50">
        <v>5480846074.6269903</v>
      </c>
      <c r="L9" s="50">
        <v>5100883000.1288099</v>
      </c>
    </row>
    <row r="10" spans="1:20" x14ac:dyDescent="0.3">
      <c r="D10" s="6" t="s">
        <v>4</v>
      </c>
      <c r="I10" s="49">
        <v>-21361047.050000001</v>
      </c>
      <c r="J10" s="49">
        <v>-4448226</v>
      </c>
      <c r="K10" s="50">
        <v>-2304166</v>
      </c>
      <c r="L10" s="50">
        <v>-834699.96</v>
      </c>
    </row>
    <row r="11" spans="1:20" x14ac:dyDescent="0.3">
      <c r="D11" s="6" t="s">
        <v>5</v>
      </c>
      <c r="I11" s="49">
        <v>0</v>
      </c>
      <c r="J11" s="49">
        <v>0</v>
      </c>
      <c r="K11" s="50">
        <v>0</v>
      </c>
      <c r="L11" s="50">
        <v>0</v>
      </c>
    </row>
    <row r="12" spans="1:20" ht="13.5" thickBot="1" x14ac:dyDescent="0.35">
      <c r="D12" s="14" t="s">
        <v>6</v>
      </c>
      <c r="E12" s="14"/>
      <c r="F12" s="14"/>
      <c r="G12" s="14"/>
      <c r="H12" s="14"/>
      <c r="I12" s="51">
        <v>3762933456.6739798</v>
      </c>
      <c r="J12" s="51">
        <v>3880008542.0304799</v>
      </c>
      <c r="K12" s="52">
        <v>5478541908.6269903</v>
      </c>
      <c r="L12" s="52">
        <v>5100048300.1688099</v>
      </c>
    </row>
    <row r="13" spans="1:20" x14ac:dyDescent="0.3">
      <c r="D13" s="6" t="s">
        <v>7</v>
      </c>
      <c r="I13" s="49">
        <v>957146929.88996994</v>
      </c>
      <c r="J13" s="49">
        <v>880777972.17455494</v>
      </c>
      <c r="K13" s="50">
        <v>1551106815.45171</v>
      </c>
      <c r="L13" s="50">
        <v>1372621773.1294601</v>
      </c>
    </row>
    <row r="14" spans="1:20" ht="13.5" thickBot="1" x14ac:dyDescent="0.35">
      <c r="D14" s="14" t="s">
        <v>8</v>
      </c>
      <c r="E14" s="14"/>
      <c r="F14" s="14"/>
      <c r="G14" s="14"/>
      <c r="H14" s="14"/>
      <c r="I14" s="51">
        <v>2805786526.7840099</v>
      </c>
      <c r="J14" s="51">
        <v>2999230569.8559251</v>
      </c>
      <c r="K14" s="52">
        <v>3927435093.1752806</v>
      </c>
      <c r="L14" s="52">
        <v>3727426527.0393496</v>
      </c>
    </row>
    <row r="15" spans="1:20" x14ac:dyDescent="0.3">
      <c r="D15" s="6" t="s">
        <v>9</v>
      </c>
      <c r="I15" s="49">
        <v>1615456223.2339787</v>
      </c>
      <c r="J15" s="49">
        <v>2218623867.1146202</v>
      </c>
      <c r="K15" s="50">
        <v>2458571898.0631995</v>
      </c>
      <c r="L15" s="50">
        <v>2778469479.2756681</v>
      </c>
    </row>
    <row r="16" spans="1:20" x14ac:dyDescent="0.3">
      <c r="D16" s="6" t="s">
        <v>10</v>
      </c>
      <c r="I16" s="49">
        <v>862981910.15999997</v>
      </c>
      <c r="J16" s="49">
        <v>1188791010.23</v>
      </c>
      <c r="K16" s="50">
        <v>1254259251</v>
      </c>
      <c r="L16" s="50">
        <v>1262005898.1600001</v>
      </c>
    </row>
    <row r="17" spans="4:12" x14ac:dyDescent="0.3">
      <c r="D17" s="6" t="s">
        <v>11</v>
      </c>
      <c r="I17" s="49">
        <v>72073709.5</v>
      </c>
      <c r="J17" s="49">
        <v>110722053.12</v>
      </c>
      <c r="K17" s="50">
        <v>152974958.13999999</v>
      </c>
      <c r="L17" s="50">
        <v>154521293.16</v>
      </c>
    </row>
    <row r="18" spans="4:12" x14ac:dyDescent="0.3">
      <c r="D18" s="6" t="s">
        <v>12</v>
      </c>
      <c r="I18" s="49">
        <v>56614895.447899997</v>
      </c>
      <c r="J18" s="49">
        <v>64368583.720739998</v>
      </c>
      <c r="K18" s="50">
        <v>71339300.051720902</v>
      </c>
      <c r="L18" s="50">
        <v>58775938.748011701</v>
      </c>
    </row>
    <row r="19" spans="4:12" x14ac:dyDescent="0.3">
      <c r="D19" s="6" t="s">
        <v>13</v>
      </c>
      <c r="I19" s="49">
        <v>72642084.549999997</v>
      </c>
      <c r="J19" s="49">
        <v>79333028.920000002</v>
      </c>
      <c r="K19" s="50">
        <v>112006184.69</v>
      </c>
      <c r="L19" s="50">
        <v>129676546.41</v>
      </c>
    </row>
    <row r="20" spans="4:12" x14ac:dyDescent="0.3">
      <c r="D20" s="6" t="s">
        <v>14</v>
      </c>
      <c r="I20" s="49">
        <v>191626512.56999999</v>
      </c>
      <c r="J20" s="49">
        <v>203393869.31</v>
      </c>
      <c r="K20" s="50">
        <v>215321702.00999999</v>
      </c>
      <c r="L20" s="50">
        <v>534855986.30000001</v>
      </c>
    </row>
    <row r="21" spans="4:12" x14ac:dyDescent="0.3">
      <c r="D21" s="6" t="s">
        <v>15</v>
      </c>
      <c r="I21" s="49">
        <v>29024748</v>
      </c>
      <c r="J21" s="49">
        <v>15499593.779999999</v>
      </c>
      <c r="K21" s="50">
        <v>32550972.629999999</v>
      </c>
      <c r="L21" s="50">
        <v>21749954.550000001</v>
      </c>
    </row>
    <row r="22" spans="4:12" x14ac:dyDescent="0.3">
      <c r="D22" s="6" t="s">
        <v>16</v>
      </c>
      <c r="I22" s="49">
        <v>26643103.120000001</v>
      </c>
      <c r="J22" s="49">
        <v>11257925</v>
      </c>
      <c r="K22" s="50">
        <v>11135795</v>
      </c>
      <c r="L22" s="50">
        <v>9351226.5500000007</v>
      </c>
    </row>
    <row r="23" spans="4:12" x14ac:dyDescent="0.3">
      <c r="D23" s="6" t="s">
        <v>17</v>
      </c>
      <c r="I23" s="49">
        <v>500000</v>
      </c>
      <c r="J23" s="49">
        <v>150000</v>
      </c>
      <c r="K23" s="50">
        <v>17100000</v>
      </c>
      <c r="L23" s="50">
        <v>1552152</v>
      </c>
    </row>
    <row r="24" spans="4:12" x14ac:dyDescent="0.3">
      <c r="D24" s="6" t="s">
        <v>18</v>
      </c>
      <c r="I24" s="49">
        <v>0</v>
      </c>
      <c r="J24" s="49">
        <v>25464384.059999999</v>
      </c>
      <c r="K24" s="50">
        <v>111089044.38</v>
      </c>
      <c r="L24" s="50">
        <v>129358336.3</v>
      </c>
    </row>
    <row r="25" spans="4:12" x14ac:dyDescent="0.3">
      <c r="D25" s="6" t="s">
        <v>19</v>
      </c>
      <c r="I25" s="49">
        <v>26581800.82</v>
      </c>
      <c r="J25" s="49">
        <v>36474837.258000001</v>
      </c>
      <c r="K25" s="50">
        <v>28900680.57</v>
      </c>
      <c r="L25" s="50">
        <v>41879776.710000001</v>
      </c>
    </row>
    <row r="26" spans="4:12" x14ac:dyDescent="0.3">
      <c r="D26" s="6" t="s">
        <v>20</v>
      </c>
      <c r="I26" s="49">
        <v>47814207.036078997</v>
      </c>
      <c r="J26" s="49">
        <v>51319427.265880004</v>
      </c>
      <c r="K26" s="50">
        <v>62167797.281478502</v>
      </c>
      <c r="L26" s="50">
        <v>66084273.097655997</v>
      </c>
    </row>
    <row r="27" spans="4:12" x14ac:dyDescent="0.3">
      <c r="D27" s="6" t="s">
        <v>21</v>
      </c>
      <c r="I27" s="49">
        <v>41723861.130000003</v>
      </c>
      <c r="J27" s="49">
        <v>57158741.479999997</v>
      </c>
      <c r="K27" s="50">
        <v>48440704.739999898</v>
      </c>
      <c r="L27" s="50">
        <v>47010372.450000003</v>
      </c>
    </row>
    <row r="28" spans="4:12" x14ac:dyDescent="0.3">
      <c r="D28" s="6" t="s">
        <v>22</v>
      </c>
      <c r="I28" s="49">
        <v>187229390.90000001</v>
      </c>
      <c r="J28" s="49">
        <v>374690412.97000003</v>
      </c>
      <c r="K28" s="50">
        <v>341285507.56999999</v>
      </c>
      <c r="L28" s="50">
        <v>321647724.83999997</v>
      </c>
    </row>
    <row r="29" spans="4:12" ht="13.5" thickBot="1" x14ac:dyDescent="0.35">
      <c r="D29" s="14" t="s">
        <v>23</v>
      </c>
      <c r="E29" s="14"/>
      <c r="F29" s="14"/>
      <c r="G29" s="14"/>
      <c r="H29" s="14"/>
      <c r="I29" s="51">
        <v>1190330303.5500312</v>
      </c>
      <c r="J29" s="51">
        <v>780606702.74130487</v>
      </c>
      <c r="K29" s="52">
        <v>1468863195.1120801</v>
      </c>
      <c r="L29" s="52">
        <v>948957047.76368141</v>
      </c>
    </row>
    <row r="30" spans="4:12" x14ac:dyDescent="0.3">
      <c r="D30" s="6" t="s">
        <v>24</v>
      </c>
      <c r="I30" s="49">
        <v>14345970.98</v>
      </c>
      <c r="J30" s="49">
        <v>3370933.84</v>
      </c>
      <c r="K30" s="50">
        <v>10876033.100000001</v>
      </c>
      <c r="L30" s="50">
        <v>56317945.719999999</v>
      </c>
    </row>
    <row r="31" spans="4:12" x14ac:dyDescent="0.3">
      <c r="D31" s="6" t="s">
        <v>25</v>
      </c>
      <c r="I31" s="49">
        <v>3625247.54</v>
      </c>
      <c r="J31" s="49">
        <v>-1612603.3</v>
      </c>
      <c r="K31" s="50">
        <v>4259043.2</v>
      </c>
      <c r="L31" s="50">
        <v>1737688.51</v>
      </c>
    </row>
    <row r="32" spans="4:12" x14ac:dyDescent="0.3">
      <c r="D32" s="6" t="s">
        <v>26</v>
      </c>
      <c r="I32" s="49">
        <v>0</v>
      </c>
      <c r="J32" s="49">
        <v>0</v>
      </c>
      <c r="K32" s="50">
        <v>0</v>
      </c>
      <c r="L32" s="50">
        <v>0</v>
      </c>
    </row>
    <row r="33" spans="4:12" x14ac:dyDescent="0.3">
      <c r="D33" s="6" t="s">
        <v>27</v>
      </c>
      <c r="I33" s="49">
        <v>77126</v>
      </c>
      <c r="J33" s="49">
        <v>4983537.1399999997</v>
      </c>
      <c r="K33" s="50">
        <v>6616989.9000000004</v>
      </c>
      <c r="L33" s="50">
        <v>52996657.210000001</v>
      </c>
    </row>
    <row r="34" spans="4:12" x14ac:dyDescent="0.3">
      <c r="D34" s="6" t="s">
        <v>28</v>
      </c>
      <c r="I34" s="49">
        <v>10643597.439999999</v>
      </c>
      <c r="J34" s="49">
        <v>0</v>
      </c>
      <c r="K34" s="50">
        <v>0</v>
      </c>
      <c r="L34" s="50">
        <v>1583600</v>
      </c>
    </row>
    <row r="35" spans="4:12" x14ac:dyDescent="0.3">
      <c r="D35" s="6" t="s">
        <v>29</v>
      </c>
      <c r="I35" s="49">
        <v>8272646.3799999999</v>
      </c>
      <c r="J35" s="49">
        <v>12885260.77</v>
      </c>
      <c r="K35" s="50">
        <v>66412460.289999992</v>
      </c>
      <c r="L35" s="50">
        <v>182270793.88999999</v>
      </c>
    </row>
    <row r="36" spans="4:12" x14ac:dyDescent="0.3">
      <c r="D36" s="6" t="s">
        <v>30</v>
      </c>
      <c r="I36" s="49">
        <v>4216560</v>
      </c>
      <c r="J36" s="49">
        <v>555305.29</v>
      </c>
      <c r="K36" s="50">
        <v>37272149.159999996</v>
      </c>
      <c r="L36" s="50">
        <v>19211570.710000001</v>
      </c>
    </row>
    <row r="37" spans="4:12" x14ac:dyDescent="0.3">
      <c r="D37" s="6" t="s">
        <v>31</v>
      </c>
      <c r="I37" s="49">
        <v>0</v>
      </c>
      <c r="J37" s="49">
        <v>0</v>
      </c>
      <c r="K37" s="50">
        <v>0</v>
      </c>
      <c r="L37" s="50">
        <v>0</v>
      </c>
    </row>
    <row r="38" spans="4:12" x14ac:dyDescent="0.3">
      <c r="D38" s="6" t="s">
        <v>32</v>
      </c>
      <c r="I38" s="49">
        <v>3809961.38</v>
      </c>
      <c r="J38" s="49">
        <v>8183528.5999999996</v>
      </c>
      <c r="K38" s="50">
        <v>27515311.129999999</v>
      </c>
      <c r="L38" s="50">
        <v>127792679.98999999</v>
      </c>
    </row>
    <row r="39" spans="4:12" x14ac:dyDescent="0.3">
      <c r="D39" s="6" t="s">
        <v>33</v>
      </c>
      <c r="I39" s="49">
        <v>246125</v>
      </c>
      <c r="J39" s="49">
        <v>4146426.88</v>
      </c>
      <c r="K39" s="50">
        <v>1625000</v>
      </c>
      <c r="L39" s="50">
        <v>35266543.189999998</v>
      </c>
    </row>
    <row r="40" spans="4:12" x14ac:dyDescent="0.3">
      <c r="D40" s="6" t="s">
        <v>34</v>
      </c>
      <c r="I40" s="49">
        <v>1196403628.1500311</v>
      </c>
      <c r="J40" s="49">
        <v>771092375.81130493</v>
      </c>
      <c r="K40" s="50">
        <v>1413326767.92208</v>
      </c>
      <c r="L40" s="50">
        <v>823004199.59368145</v>
      </c>
    </row>
    <row r="41" spans="4:12" x14ac:dyDescent="0.3">
      <c r="D41" s="6" t="s">
        <v>35</v>
      </c>
      <c r="I41" s="49">
        <v>0</v>
      </c>
      <c r="J41" s="49">
        <v>0</v>
      </c>
      <c r="K41" s="50">
        <v>0</v>
      </c>
      <c r="L41" s="50">
        <v>0</v>
      </c>
    </row>
    <row r="42" spans="4:12" x14ac:dyDescent="0.3">
      <c r="D42" s="6" t="s">
        <v>36</v>
      </c>
      <c r="I42" s="49">
        <v>0</v>
      </c>
      <c r="J42" s="49">
        <v>0</v>
      </c>
      <c r="K42" s="50">
        <v>0</v>
      </c>
      <c r="L42" s="50">
        <v>0</v>
      </c>
    </row>
    <row r="43" spans="4:12" x14ac:dyDescent="0.3">
      <c r="D43" s="6" t="s">
        <v>37</v>
      </c>
      <c r="I43" s="49">
        <v>0</v>
      </c>
      <c r="J43" s="49">
        <v>0</v>
      </c>
      <c r="K43" s="50">
        <v>0</v>
      </c>
      <c r="L43" s="50">
        <v>0</v>
      </c>
    </row>
    <row r="44" spans="4:12" x14ac:dyDescent="0.3">
      <c r="D44" s="6" t="s">
        <v>38</v>
      </c>
      <c r="I44" s="49">
        <v>1196403628.1500311</v>
      </c>
      <c r="J44" s="49">
        <v>771092375.81130493</v>
      </c>
      <c r="K44" s="50">
        <v>1413326767.92208</v>
      </c>
      <c r="L44" s="50">
        <v>823004199.59368145</v>
      </c>
    </row>
    <row r="45" spans="4:12" x14ac:dyDescent="0.3">
      <c r="D45" s="6" t="s">
        <v>39</v>
      </c>
      <c r="I45" s="49">
        <v>85900300</v>
      </c>
      <c r="J45" s="49">
        <v>77359000</v>
      </c>
      <c r="K45" s="50">
        <v>108336134.38</v>
      </c>
      <c r="L45" s="50">
        <v>62029953.939999998</v>
      </c>
    </row>
    <row r="46" spans="4:12" x14ac:dyDescent="0.3">
      <c r="D46" s="6" t="s">
        <v>40</v>
      </c>
      <c r="I46" s="49">
        <v>1110503328.1500311</v>
      </c>
      <c r="J46" s="49">
        <v>693733375.81130493</v>
      </c>
      <c r="K46" s="50">
        <v>1304990633.5420799</v>
      </c>
      <c r="L46" s="50">
        <v>760974245.65368152</v>
      </c>
    </row>
    <row r="47" spans="4:12" x14ac:dyDescent="0.3">
      <c r="D47" s="6" t="s">
        <v>41</v>
      </c>
      <c r="I47" s="49">
        <v>0</v>
      </c>
      <c r="J47" s="49">
        <v>0</v>
      </c>
      <c r="K47" s="50">
        <v>0</v>
      </c>
      <c r="L47" s="50">
        <v>0</v>
      </c>
    </row>
    <row r="48" spans="4:12" x14ac:dyDescent="0.3">
      <c r="D48" s="15" t="s">
        <v>42</v>
      </c>
      <c r="E48" s="15"/>
      <c r="F48" s="15"/>
      <c r="G48" s="15"/>
      <c r="H48" s="15"/>
      <c r="I48" s="22"/>
      <c r="J48" s="22"/>
      <c r="K48" s="22"/>
      <c r="L48" s="22"/>
    </row>
    <row r="49" spans="4:12" x14ac:dyDescent="0.3">
      <c r="D49" s="16" t="s">
        <v>43</v>
      </c>
      <c r="E49" s="16"/>
      <c r="F49" s="16"/>
      <c r="G49" s="16"/>
      <c r="H49" s="16"/>
      <c r="I49" s="37">
        <v>0</v>
      </c>
      <c r="J49" s="37">
        <v>0</v>
      </c>
      <c r="K49" s="37">
        <v>0</v>
      </c>
      <c r="L49" s="37">
        <v>0</v>
      </c>
    </row>
    <row r="50" spans="4:12" hidden="1" outlineLevel="1" x14ac:dyDescent="0.3">
      <c r="D50" s="16" t="s">
        <v>44</v>
      </c>
      <c r="E50" s="16"/>
      <c r="F50" s="16"/>
      <c r="G50" s="16"/>
      <c r="H50" s="16"/>
      <c r="I50" s="37">
        <v>0</v>
      </c>
      <c r="J50" s="37">
        <v>0</v>
      </c>
      <c r="K50" s="37">
        <v>0</v>
      </c>
      <c r="L50" s="37">
        <v>0</v>
      </c>
    </row>
    <row r="51" spans="4:12" hidden="1" outlineLevel="1" x14ac:dyDescent="0.3">
      <c r="D51" s="16" t="s">
        <v>45</v>
      </c>
      <c r="E51" s="16"/>
      <c r="F51" s="16"/>
      <c r="G51" s="16"/>
      <c r="H51" s="16"/>
      <c r="I51" s="37">
        <v>0</v>
      </c>
      <c r="J51" s="37">
        <v>0</v>
      </c>
      <c r="K51" s="37">
        <v>0</v>
      </c>
      <c r="L51" s="37">
        <v>0</v>
      </c>
    </row>
    <row r="52" spans="4:12" collapsed="1" x14ac:dyDescent="0.3">
      <c r="D52" s="16" t="s">
        <v>46</v>
      </c>
      <c r="E52" s="16"/>
      <c r="F52" s="16"/>
      <c r="G52" s="16"/>
      <c r="H52" s="16"/>
      <c r="I52" s="37">
        <v>94228324.520002559</v>
      </c>
      <c r="J52" s="37">
        <v>719700731.07000268</v>
      </c>
      <c r="K52" s="37">
        <v>233299232.75999841</v>
      </c>
      <c r="L52" s="37">
        <v>199035728.0300006</v>
      </c>
    </row>
    <row r="53" spans="4:12" hidden="1" outlineLevel="1" x14ac:dyDescent="0.3">
      <c r="D53" s="16" t="s">
        <v>47</v>
      </c>
      <c r="E53" s="16"/>
      <c r="F53" s="16"/>
      <c r="G53" s="16"/>
      <c r="H53" s="16"/>
      <c r="I53" s="37">
        <v>0</v>
      </c>
      <c r="J53" s="37">
        <v>0</v>
      </c>
      <c r="K53" s="37">
        <v>0</v>
      </c>
      <c r="L53" s="37">
        <v>0</v>
      </c>
    </row>
    <row r="54" spans="4:12" hidden="1" outlineLevel="1" x14ac:dyDescent="0.3">
      <c r="D54" s="16" t="s">
        <v>48</v>
      </c>
      <c r="E54" s="16"/>
      <c r="F54" s="16"/>
      <c r="G54" s="16"/>
      <c r="H54" s="16"/>
      <c r="I54" s="37">
        <v>0</v>
      </c>
      <c r="J54" s="37">
        <v>0</v>
      </c>
      <c r="K54" s="37">
        <v>0</v>
      </c>
      <c r="L54" s="37">
        <v>0</v>
      </c>
    </row>
    <row r="55" spans="4:12" hidden="1" outlineLevel="1" x14ac:dyDescent="0.3">
      <c r="D55" s="16" t="s">
        <v>49</v>
      </c>
      <c r="E55" s="16"/>
      <c r="F55" s="16"/>
      <c r="G55" s="16"/>
      <c r="H55" s="16"/>
      <c r="I55" s="37">
        <v>0</v>
      </c>
      <c r="J55" s="37">
        <v>0</v>
      </c>
      <c r="K55" s="37">
        <v>0</v>
      </c>
      <c r="L55" s="37">
        <v>0</v>
      </c>
    </row>
    <row r="56" spans="4:12" hidden="1" outlineLevel="1" x14ac:dyDescent="0.3">
      <c r="D56" s="16" t="s">
        <v>50</v>
      </c>
      <c r="E56" s="16"/>
      <c r="F56" s="16"/>
      <c r="G56" s="16"/>
      <c r="H56" s="16"/>
      <c r="I56" s="37">
        <v>0</v>
      </c>
      <c r="J56" s="37">
        <v>0</v>
      </c>
      <c r="K56" s="37">
        <v>0</v>
      </c>
      <c r="L56" s="37">
        <v>0</v>
      </c>
    </row>
    <row r="57" spans="4:12" hidden="1" outlineLevel="1" x14ac:dyDescent="0.3">
      <c r="D57" s="16" t="s">
        <v>51</v>
      </c>
      <c r="E57" s="16"/>
      <c r="F57" s="16"/>
      <c r="G57" s="16"/>
      <c r="H57" s="16"/>
      <c r="I57" s="37">
        <v>0</v>
      </c>
      <c r="J57" s="37">
        <v>0</v>
      </c>
      <c r="K57" s="37">
        <v>0</v>
      </c>
      <c r="L57" s="37">
        <v>0</v>
      </c>
    </row>
    <row r="58" spans="4:12" hidden="1" outlineLevel="1" x14ac:dyDescent="0.3">
      <c r="D58" s="16" t="s">
        <v>52</v>
      </c>
      <c r="E58" s="16"/>
      <c r="F58" s="16"/>
      <c r="G58" s="16"/>
      <c r="H58" s="16"/>
      <c r="I58" s="37">
        <v>0</v>
      </c>
      <c r="J58" s="37">
        <v>0</v>
      </c>
      <c r="K58" s="37">
        <v>0</v>
      </c>
      <c r="L58" s="37">
        <v>0</v>
      </c>
    </row>
    <row r="59" spans="4:12" hidden="1" outlineLevel="1" x14ac:dyDescent="0.3">
      <c r="D59" s="16" t="s">
        <v>53</v>
      </c>
      <c r="E59" s="16"/>
      <c r="F59" s="16"/>
      <c r="G59" s="16"/>
      <c r="H59" s="16"/>
      <c r="I59" s="37">
        <v>0</v>
      </c>
      <c r="J59" s="37">
        <v>0</v>
      </c>
      <c r="K59" s="37">
        <v>0</v>
      </c>
      <c r="L59" s="37">
        <v>0</v>
      </c>
    </row>
    <row r="60" spans="4:12" collapsed="1" x14ac:dyDescent="0.3">
      <c r="D60" s="16" t="s">
        <v>54</v>
      </c>
      <c r="E60" s="16"/>
      <c r="F60" s="16"/>
      <c r="G60" s="16"/>
      <c r="H60" s="16"/>
      <c r="I60" s="37">
        <v>1245139764.7676899</v>
      </c>
      <c r="J60" s="37">
        <v>2036003278.9981699</v>
      </c>
      <c r="K60" s="37">
        <v>1472013088.9761636</v>
      </c>
      <c r="L60" s="37">
        <v>614928927.08496583</v>
      </c>
    </row>
    <row r="61" spans="4:12" hidden="1" outlineLevel="1" x14ac:dyDescent="0.3">
      <c r="D61" s="16" t="s">
        <v>55</v>
      </c>
      <c r="E61" s="16"/>
      <c r="F61" s="16"/>
      <c r="G61" s="16"/>
      <c r="H61" s="16"/>
      <c r="I61" s="37">
        <v>0</v>
      </c>
      <c r="J61" s="37">
        <v>0</v>
      </c>
      <c r="K61" s="37">
        <v>0</v>
      </c>
      <c r="L61" s="37">
        <v>0</v>
      </c>
    </row>
    <row r="62" spans="4:12" hidden="1" outlineLevel="1" x14ac:dyDescent="0.3">
      <c r="D62" s="16" t="s">
        <v>56</v>
      </c>
      <c r="E62" s="16"/>
      <c r="F62" s="16"/>
      <c r="G62" s="16"/>
      <c r="H62" s="16"/>
      <c r="I62" s="37">
        <v>0</v>
      </c>
      <c r="J62" s="37">
        <v>0</v>
      </c>
      <c r="K62" s="37">
        <v>0</v>
      </c>
      <c r="L62" s="37">
        <v>0</v>
      </c>
    </row>
    <row r="63" spans="4:12" hidden="1" outlineLevel="1" x14ac:dyDescent="0.3">
      <c r="D63" s="16" t="s">
        <v>57</v>
      </c>
      <c r="E63" s="16"/>
      <c r="F63" s="16"/>
      <c r="G63" s="16"/>
      <c r="H63" s="16"/>
      <c r="I63" s="37">
        <v>0</v>
      </c>
      <c r="J63" s="37">
        <v>0</v>
      </c>
      <c r="K63" s="37">
        <v>0</v>
      </c>
      <c r="L63" s="37">
        <v>0</v>
      </c>
    </row>
    <row r="64" spans="4:12" hidden="1" outlineLevel="1" x14ac:dyDescent="0.3">
      <c r="D64" s="16" t="s">
        <v>58</v>
      </c>
      <c r="E64" s="16"/>
      <c r="F64" s="16"/>
      <c r="G64" s="16"/>
      <c r="H64" s="16"/>
      <c r="I64" s="37">
        <v>0</v>
      </c>
      <c r="J64" s="37">
        <v>0</v>
      </c>
      <c r="K64" s="37">
        <v>0</v>
      </c>
      <c r="L64" s="37">
        <v>0</v>
      </c>
    </row>
    <row r="65" spans="4:12" collapsed="1" x14ac:dyDescent="0.3">
      <c r="D65" s="16" t="s">
        <v>59</v>
      </c>
      <c r="E65" s="16"/>
      <c r="F65" s="16"/>
      <c r="G65" s="16"/>
      <c r="H65" s="16"/>
      <c r="I65" s="37">
        <v>1092132238.2381248</v>
      </c>
      <c r="J65" s="37">
        <v>1614585981.0089502</v>
      </c>
      <c r="K65" s="37">
        <v>1501776768.6604426</v>
      </c>
      <c r="L65" s="37">
        <v>1615311080.3556349</v>
      </c>
    </row>
    <row r="66" spans="4:12" hidden="1" outlineLevel="1" x14ac:dyDescent="0.3">
      <c r="D66" s="16" t="s">
        <v>60</v>
      </c>
      <c r="E66" s="16"/>
      <c r="F66" s="16"/>
      <c r="G66" s="16"/>
      <c r="H66" s="16"/>
      <c r="I66" s="37">
        <v>0</v>
      </c>
      <c r="J66" s="37">
        <v>0</v>
      </c>
      <c r="K66" s="37">
        <v>0</v>
      </c>
      <c r="L66" s="37">
        <v>0</v>
      </c>
    </row>
    <row r="67" spans="4:12" hidden="1" outlineLevel="1" x14ac:dyDescent="0.3">
      <c r="D67" s="16" t="s">
        <v>61</v>
      </c>
      <c r="E67" s="16"/>
      <c r="F67" s="16"/>
      <c r="G67" s="16"/>
      <c r="H67" s="16"/>
      <c r="I67" s="37">
        <v>0</v>
      </c>
      <c r="J67" s="37">
        <v>0</v>
      </c>
      <c r="K67" s="37">
        <v>0</v>
      </c>
      <c r="L67" s="37">
        <v>0</v>
      </c>
    </row>
    <row r="68" spans="4:12" hidden="1" outlineLevel="1" x14ac:dyDescent="0.3">
      <c r="D68" s="16" t="s">
        <v>62</v>
      </c>
      <c r="E68" s="16"/>
      <c r="F68" s="16"/>
      <c r="G68" s="16"/>
      <c r="H68" s="16"/>
      <c r="I68" s="37">
        <v>0</v>
      </c>
      <c r="J68" s="37">
        <v>0</v>
      </c>
      <c r="K68" s="37">
        <v>0</v>
      </c>
      <c r="L68" s="37">
        <v>0</v>
      </c>
    </row>
    <row r="69" spans="4:12" collapsed="1" x14ac:dyDescent="0.3">
      <c r="D69" s="16" t="s">
        <v>62</v>
      </c>
      <c r="E69" s="16"/>
      <c r="F69" s="16"/>
      <c r="G69" s="16"/>
      <c r="H69" s="16"/>
      <c r="I69" s="37">
        <v>269818016.94171047</v>
      </c>
      <c r="J69" s="37">
        <v>0</v>
      </c>
      <c r="K69" s="37">
        <v>0</v>
      </c>
      <c r="L69" s="37">
        <v>0</v>
      </c>
    </row>
    <row r="70" spans="4:12" ht="14" x14ac:dyDescent="0.4">
      <c r="D70" s="16" t="s">
        <v>44</v>
      </c>
      <c r="E70" s="16"/>
      <c r="F70" s="16"/>
      <c r="G70" s="16"/>
      <c r="H70" s="16"/>
      <c r="I70" s="38">
        <v>0</v>
      </c>
      <c r="J70" s="38">
        <v>0</v>
      </c>
      <c r="K70" s="37">
        <v>0</v>
      </c>
      <c r="L70" s="37">
        <v>0</v>
      </c>
    </row>
    <row r="71" spans="4:12" hidden="1" outlineLevel="1" x14ac:dyDescent="0.3">
      <c r="D71" s="16" t="s">
        <v>63</v>
      </c>
      <c r="E71" s="16"/>
      <c r="F71" s="16"/>
      <c r="G71" s="16"/>
      <c r="H71" s="16"/>
      <c r="I71" s="37">
        <v>0</v>
      </c>
      <c r="J71" s="37">
        <v>0</v>
      </c>
      <c r="K71" s="37">
        <v>0</v>
      </c>
      <c r="L71" s="37">
        <v>0</v>
      </c>
    </row>
    <row r="72" spans="4:12" hidden="1" outlineLevel="1" x14ac:dyDescent="0.3">
      <c r="D72" s="16" t="s">
        <v>64</v>
      </c>
      <c r="E72" s="16"/>
      <c r="F72" s="16"/>
      <c r="G72" s="16"/>
      <c r="H72" s="16"/>
      <c r="I72" s="37">
        <v>0</v>
      </c>
      <c r="J72" s="37">
        <v>0</v>
      </c>
      <c r="K72" s="37">
        <v>0</v>
      </c>
      <c r="L72" s="37">
        <v>0</v>
      </c>
    </row>
    <row r="73" spans="4:12" hidden="1" outlineLevel="1" x14ac:dyDescent="0.3">
      <c r="D73" s="16" t="s">
        <v>65</v>
      </c>
      <c r="E73" s="16"/>
      <c r="F73" s="16"/>
      <c r="G73" s="16"/>
      <c r="H73" s="16"/>
      <c r="I73" s="37">
        <v>0</v>
      </c>
      <c r="J73" s="37">
        <v>0</v>
      </c>
      <c r="K73" s="37">
        <v>0</v>
      </c>
      <c r="L73" s="37">
        <v>0</v>
      </c>
    </row>
    <row r="74" spans="4:12" hidden="1" outlineLevel="1" x14ac:dyDescent="0.3">
      <c r="D74" s="16" t="s">
        <v>66</v>
      </c>
      <c r="E74" s="16"/>
      <c r="F74" s="16"/>
      <c r="G74" s="16"/>
      <c r="H74" s="16"/>
      <c r="I74" s="37">
        <v>0</v>
      </c>
      <c r="J74" s="37">
        <v>0</v>
      </c>
      <c r="K74" s="37">
        <v>0</v>
      </c>
      <c r="L74" s="37">
        <v>0</v>
      </c>
    </row>
    <row r="75" spans="4:12" hidden="1" outlineLevel="1" x14ac:dyDescent="0.3">
      <c r="D75" s="16" t="s">
        <v>67</v>
      </c>
      <c r="E75" s="16"/>
      <c r="F75" s="16"/>
      <c r="G75" s="16"/>
      <c r="H75" s="16"/>
      <c r="I75" s="37">
        <v>0</v>
      </c>
      <c r="J75" s="37">
        <v>0</v>
      </c>
      <c r="K75" s="37">
        <v>0</v>
      </c>
      <c r="L75" s="37">
        <v>0</v>
      </c>
    </row>
    <row r="76" spans="4:12" hidden="1" outlineLevel="1" x14ac:dyDescent="0.3">
      <c r="D76" s="16" t="s">
        <v>68</v>
      </c>
      <c r="E76" s="16"/>
      <c r="F76" s="16"/>
      <c r="G76" s="16"/>
      <c r="H76" s="16"/>
      <c r="I76" s="37">
        <v>0</v>
      </c>
      <c r="J76" s="37">
        <v>0</v>
      </c>
      <c r="K76" s="37">
        <v>0</v>
      </c>
      <c r="L76" s="37">
        <v>0</v>
      </c>
    </row>
    <row r="77" spans="4:12" hidden="1" outlineLevel="1" x14ac:dyDescent="0.3">
      <c r="D77" s="16" t="s">
        <v>67</v>
      </c>
      <c r="E77" s="16"/>
      <c r="F77" s="16"/>
      <c r="G77" s="16"/>
      <c r="H77" s="16"/>
      <c r="I77" s="37">
        <v>0</v>
      </c>
      <c r="J77" s="37">
        <v>0</v>
      </c>
      <c r="K77" s="37">
        <v>0</v>
      </c>
      <c r="L77" s="37">
        <v>0</v>
      </c>
    </row>
    <row r="78" spans="4:12" hidden="1" outlineLevel="1" x14ac:dyDescent="0.3">
      <c r="D78" s="16" t="s">
        <v>69</v>
      </c>
      <c r="E78" s="16"/>
      <c r="F78" s="16"/>
      <c r="G78" s="16"/>
      <c r="H78" s="16"/>
      <c r="I78" s="37">
        <v>0</v>
      </c>
      <c r="J78" s="37">
        <v>0</v>
      </c>
      <c r="K78" s="37">
        <v>0</v>
      </c>
      <c r="L78" s="37">
        <v>0</v>
      </c>
    </row>
    <row r="79" spans="4:12" hidden="1" outlineLevel="1" x14ac:dyDescent="0.3">
      <c r="D79" s="16" t="s">
        <v>67</v>
      </c>
      <c r="E79" s="16"/>
      <c r="F79" s="16"/>
      <c r="G79" s="16"/>
      <c r="H79" s="16"/>
      <c r="I79" s="37">
        <v>0</v>
      </c>
      <c r="J79" s="37">
        <v>0</v>
      </c>
      <c r="K79" s="37">
        <v>0</v>
      </c>
      <c r="L79" s="37">
        <v>0</v>
      </c>
    </row>
    <row r="80" spans="4:12" hidden="1" outlineLevel="1" x14ac:dyDescent="0.3">
      <c r="D80" s="16" t="s">
        <v>70</v>
      </c>
      <c r="E80" s="16"/>
      <c r="F80" s="16"/>
      <c r="G80" s="16"/>
      <c r="H80" s="16"/>
      <c r="I80" s="37">
        <v>0</v>
      </c>
      <c r="J80" s="37">
        <v>0</v>
      </c>
      <c r="K80" s="37">
        <v>0</v>
      </c>
      <c r="L80" s="37">
        <v>0</v>
      </c>
    </row>
    <row r="81" spans="4:12" hidden="1" outlineLevel="1" x14ac:dyDescent="0.3">
      <c r="D81" s="16" t="s">
        <v>67</v>
      </c>
      <c r="E81" s="16"/>
      <c r="F81" s="16"/>
      <c r="G81" s="16"/>
      <c r="H81" s="16"/>
      <c r="I81" s="37">
        <v>0</v>
      </c>
      <c r="J81" s="37">
        <v>0</v>
      </c>
      <c r="K81" s="37">
        <v>0</v>
      </c>
      <c r="L81" s="37">
        <v>0</v>
      </c>
    </row>
    <row r="82" spans="4:12" hidden="1" outlineLevel="1" x14ac:dyDescent="0.3">
      <c r="D82" s="16" t="s">
        <v>71</v>
      </c>
      <c r="E82" s="16"/>
      <c r="F82" s="16"/>
      <c r="G82" s="16"/>
      <c r="H82" s="16"/>
      <c r="I82" s="37">
        <v>0</v>
      </c>
      <c r="J82" s="37">
        <v>0</v>
      </c>
      <c r="K82" s="37">
        <v>0</v>
      </c>
      <c r="L82" s="37">
        <v>0</v>
      </c>
    </row>
    <row r="83" spans="4:12" hidden="1" outlineLevel="1" x14ac:dyDescent="0.3">
      <c r="D83" s="16" t="s">
        <v>72</v>
      </c>
      <c r="E83" s="16"/>
      <c r="F83" s="16"/>
      <c r="G83" s="16"/>
      <c r="H83" s="16"/>
      <c r="I83" s="37">
        <v>0</v>
      </c>
      <c r="J83" s="37">
        <v>0</v>
      </c>
      <c r="K83" s="37">
        <v>0</v>
      </c>
      <c r="L83" s="37">
        <v>0</v>
      </c>
    </row>
    <row r="84" spans="4:12" collapsed="1" x14ac:dyDescent="0.3">
      <c r="D84" s="16" t="s">
        <v>73</v>
      </c>
      <c r="E84" s="16"/>
      <c r="F84" s="16"/>
      <c r="G84" s="16"/>
      <c r="H84" s="16"/>
      <c r="I84" s="37">
        <v>842838630.71000016</v>
      </c>
      <c r="J84" s="37">
        <v>1036638081.6900002</v>
      </c>
      <c r="K84" s="37">
        <v>1033424785.7572002</v>
      </c>
      <c r="L84" s="37">
        <v>1072378783.3672003</v>
      </c>
    </row>
    <row r="85" spans="4:12" hidden="1" outlineLevel="1" x14ac:dyDescent="0.3">
      <c r="D85" s="16" t="s">
        <v>74</v>
      </c>
      <c r="E85" s="16"/>
      <c r="F85" s="16"/>
      <c r="G85" s="16"/>
      <c r="H85" s="16"/>
      <c r="I85" s="37">
        <v>0</v>
      </c>
      <c r="J85" s="37">
        <v>0</v>
      </c>
      <c r="K85" s="37">
        <v>0</v>
      </c>
      <c r="L85" s="37">
        <v>0</v>
      </c>
    </row>
    <row r="86" spans="4:12" hidden="1" outlineLevel="1" x14ac:dyDescent="0.3">
      <c r="D86" s="16" t="s">
        <v>75</v>
      </c>
      <c r="E86" s="16"/>
      <c r="F86" s="16"/>
      <c r="G86" s="16"/>
      <c r="H86" s="16"/>
      <c r="I86" s="37">
        <v>0</v>
      </c>
      <c r="J86" s="37">
        <v>0</v>
      </c>
      <c r="K86" s="37">
        <v>0</v>
      </c>
      <c r="L86" s="37">
        <v>0</v>
      </c>
    </row>
    <row r="87" spans="4:12" hidden="1" outlineLevel="1" x14ac:dyDescent="0.3">
      <c r="D87" s="16" t="s">
        <v>76</v>
      </c>
      <c r="E87" s="16"/>
      <c r="F87" s="16"/>
      <c r="G87" s="16"/>
      <c r="H87" s="16"/>
      <c r="I87" s="37">
        <v>0</v>
      </c>
      <c r="J87" s="37">
        <v>0</v>
      </c>
      <c r="K87" s="37">
        <v>0</v>
      </c>
      <c r="L87" s="37">
        <v>0</v>
      </c>
    </row>
    <row r="88" spans="4:12" hidden="1" outlineLevel="1" x14ac:dyDescent="0.3">
      <c r="D88" s="16" t="s">
        <v>77</v>
      </c>
      <c r="E88" s="16"/>
      <c r="F88" s="16"/>
      <c r="G88" s="16"/>
      <c r="H88" s="16"/>
      <c r="I88" s="37">
        <v>0</v>
      </c>
      <c r="J88" s="37">
        <v>0</v>
      </c>
      <c r="K88" s="37">
        <v>0</v>
      </c>
      <c r="L88" s="37">
        <v>0</v>
      </c>
    </row>
    <row r="89" spans="4:12" hidden="1" outlineLevel="1" x14ac:dyDescent="0.3">
      <c r="D89" s="16" t="s">
        <v>78</v>
      </c>
      <c r="E89" s="16"/>
      <c r="F89" s="16"/>
      <c r="G89" s="16"/>
      <c r="H89" s="16"/>
      <c r="I89" s="37">
        <v>0</v>
      </c>
      <c r="J89" s="37">
        <v>0</v>
      </c>
      <c r="K89" s="37">
        <v>0</v>
      </c>
      <c r="L89" s="37">
        <v>0</v>
      </c>
    </row>
    <row r="90" spans="4:12" hidden="1" outlineLevel="1" x14ac:dyDescent="0.3">
      <c r="D90" s="16" t="s">
        <v>79</v>
      </c>
      <c r="E90" s="16"/>
      <c r="F90" s="16"/>
      <c r="G90" s="16"/>
      <c r="H90" s="16"/>
      <c r="I90" s="37">
        <v>0</v>
      </c>
      <c r="J90" s="37">
        <v>0</v>
      </c>
      <c r="K90" s="37">
        <v>0</v>
      </c>
      <c r="L90" s="37">
        <v>0</v>
      </c>
    </row>
    <row r="91" spans="4:12" collapsed="1" x14ac:dyDescent="0.3">
      <c r="D91" s="16" t="s">
        <v>74</v>
      </c>
      <c r="E91" s="16"/>
      <c r="F91" s="16"/>
      <c r="G91" s="16"/>
      <c r="H91" s="16"/>
      <c r="I91" s="37">
        <v>3353320</v>
      </c>
      <c r="J91" s="37">
        <v>2654712</v>
      </c>
      <c r="K91" s="18">
        <f>K95-SUM(K52:K84)</f>
        <v>284358356.89928722</v>
      </c>
      <c r="L91" s="18">
        <f>L95-SUM(L52:L84)</f>
        <v>231823892.46811008</v>
      </c>
    </row>
    <row r="92" spans="4:12" x14ac:dyDescent="0.3">
      <c r="D92" s="16" t="s">
        <v>80</v>
      </c>
      <c r="E92" s="16"/>
      <c r="F92" s="16"/>
      <c r="G92" s="16"/>
      <c r="H92" s="16"/>
      <c r="I92" s="37">
        <v>0</v>
      </c>
      <c r="J92" s="37">
        <v>0</v>
      </c>
      <c r="K92" s="37">
        <v>0</v>
      </c>
      <c r="L92" s="37">
        <v>0</v>
      </c>
    </row>
    <row r="93" spans="4:12" x14ac:dyDescent="0.3">
      <c r="D93" s="16" t="s">
        <v>81</v>
      </c>
      <c r="E93" s="16"/>
      <c r="F93" s="16"/>
      <c r="G93" s="16"/>
      <c r="H93" s="16"/>
      <c r="I93" s="37">
        <v>0</v>
      </c>
      <c r="J93" s="37">
        <v>0</v>
      </c>
      <c r="K93" s="37">
        <v>0</v>
      </c>
      <c r="L93" s="37">
        <v>0</v>
      </c>
    </row>
    <row r="94" spans="4:12" ht="14" x14ac:dyDescent="0.4">
      <c r="D94" s="16" t="s">
        <v>63</v>
      </c>
      <c r="E94" s="16"/>
      <c r="F94" s="16"/>
      <c r="G94" s="16"/>
      <c r="H94" s="16"/>
      <c r="I94" s="38">
        <v>846191950.71000016</v>
      </c>
      <c r="J94" s="38">
        <v>1039292793.6900002</v>
      </c>
      <c r="K94" s="37">
        <v>0</v>
      </c>
      <c r="L94" s="37">
        <v>0</v>
      </c>
    </row>
    <row r="95" spans="4:12" ht="13.5" thickBot="1" x14ac:dyDescent="0.35">
      <c r="D95" s="23" t="s">
        <v>82</v>
      </c>
      <c r="E95" s="23"/>
      <c r="F95" s="23"/>
      <c r="G95" s="23"/>
      <c r="H95" s="23"/>
      <c r="I95" s="39">
        <v>3547510295.1775279</v>
      </c>
      <c r="J95" s="39">
        <v>5409582784.7671232</v>
      </c>
      <c r="K95" s="39">
        <v>4524872233.053092</v>
      </c>
      <c r="L95" s="39">
        <v>3733478411.3059115</v>
      </c>
    </row>
    <row r="96" spans="4:12" ht="13.5" thickTop="1" x14ac:dyDescent="0.3">
      <c r="D96" s="16" t="s">
        <v>83</v>
      </c>
      <c r="E96" s="16"/>
      <c r="F96" s="16"/>
      <c r="G96" s="16"/>
      <c r="H96" s="16"/>
      <c r="I96" s="37">
        <v>0</v>
      </c>
      <c r="J96" s="37">
        <v>0</v>
      </c>
      <c r="K96" s="37">
        <v>0</v>
      </c>
      <c r="L96" s="37">
        <v>0</v>
      </c>
    </row>
    <row r="97" spans="4:12" hidden="1" outlineLevel="1" x14ac:dyDescent="0.3">
      <c r="D97" s="16" t="s">
        <v>84</v>
      </c>
      <c r="E97" s="16"/>
      <c r="F97" s="16"/>
      <c r="G97" s="16"/>
      <c r="H97" s="16"/>
      <c r="I97" s="37">
        <v>0</v>
      </c>
      <c r="J97" s="37">
        <v>0</v>
      </c>
      <c r="K97" s="37">
        <v>0</v>
      </c>
      <c r="L97" s="37">
        <v>0</v>
      </c>
    </row>
    <row r="98" spans="4:12" hidden="1" outlineLevel="1" x14ac:dyDescent="0.3">
      <c r="D98" s="16" t="s">
        <v>85</v>
      </c>
      <c r="E98" s="16"/>
      <c r="F98" s="16"/>
      <c r="G98" s="16"/>
      <c r="H98" s="16"/>
      <c r="I98" s="37">
        <v>0</v>
      </c>
      <c r="J98" s="37">
        <v>0</v>
      </c>
      <c r="K98" s="37">
        <v>0</v>
      </c>
      <c r="L98" s="37">
        <v>0</v>
      </c>
    </row>
    <row r="99" spans="4:12" hidden="1" outlineLevel="1" x14ac:dyDescent="0.3">
      <c r="D99" s="16" t="s">
        <v>86</v>
      </c>
      <c r="E99" s="16"/>
      <c r="F99" s="16"/>
      <c r="G99" s="16"/>
      <c r="H99" s="16"/>
      <c r="I99" s="37">
        <v>0</v>
      </c>
      <c r="J99" s="37">
        <v>0</v>
      </c>
      <c r="K99" s="37">
        <v>0</v>
      </c>
      <c r="L99" s="37">
        <v>0</v>
      </c>
    </row>
    <row r="100" spans="4:12" hidden="1" outlineLevel="1" x14ac:dyDescent="0.3">
      <c r="D100" s="16" t="s">
        <v>87</v>
      </c>
      <c r="E100" s="16"/>
      <c r="F100" s="16"/>
      <c r="G100" s="16"/>
      <c r="H100" s="16"/>
      <c r="I100" s="37">
        <v>0</v>
      </c>
      <c r="J100" s="37">
        <v>0</v>
      </c>
      <c r="K100" s="37">
        <v>0</v>
      </c>
      <c r="L100" s="37">
        <v>0</v>
      </c>
    </row>
    <row r="101" spans="4:12" hidden="1" outlineLevel="1" x14ac:dyDescent="0.3">
      <c r="D101" s="16" t="s">
        <v>88</v>
      </c>
      <c r="E101" s="16"/>
      <c r="F101" s="16"/>
      <c r="G101" s="16"/>
      <c r="H101" s="16"/>
      <c r="I101" s="37">
        <v>0</v>
      </c>
      <c r="J101" s="37">
        <v>0</v>
      </c>
      <c r="K101" s="37">
        <v>0</v>
      </c>
      <c r="L101" s="37">
        <v>0</v>
      </c>
    </row>
    <row r="102" spans="4:12" hidden="1" outlineLevel="1" x14ac:dyDescent="0.3">
      <c r="D102" s="16" t="s">
        <v>89</v>
      </c>
      <c r="E102" s="16"/>
      <c r="F102" s="16"/>
      <c r="G102" s="16"/>
      <c r="H102" s="16"/>
      <c r="I102" s="37">
        <v>0</v>
      </c>
      <c r="J102" s="37">
        <v>0</v>
      </c>
      <c r="K102" s="37">
        <v>0</v>
      </c>
      <c r="L102" s="37">
        <v>0</v>
      </c>
    </row>
    <row r="103" spans="4:12" hidden="1" outlineLevel="1" x14ac:dyDescent="0.3">
      <c r="D103" s="16" t="s">
        <v>90</v>
      </c>
      <c r="E103" s="16"/>
      <c r="F103" s="16"/>
      <c r="G103" s="16"/>
      <c r="H103" s="16"/>
      <c r="I103" s="37">
        <v>0</v>
      </c>
      <c r="J103" s="37">
        <v>0</v>
      </c>
      <c r="K103" s="37">
        <v>0</v>
      </c>
      <c r="L103" s="37">
        <v>0</v>
      </c>
    </row>
    <row r="104" spans="4:12" hidden="1" outlineLevel="1" x14ac:dyDescent="0.3">
      <c r="D104" s="16" t="s">
        <v>91</v>
      </c>
      <c r="E104" s="16"/>
      <c r="F104" s="16"/>
      <c r="G104" s="16"/>
      <c r="H104" s="16"/>
      <c r="I104" s="37">
        <v>0</v>
      </c>
      <c r="J104" s="37">
        <v>0</v>
      </c>
      <c r="K104" s="37">
        <v>0</v>
      </c>
      <c r="L104" s="37">
        <v>0</v>
      </c>
    </row>
    <row r="105" spans="4:12" hidden="1" outlineLevel="1" x14ac:dyDescent="0.3">
      <c r="D105" s="16" t="s">
        <v>92</v>
      </c>
      <c r="E105" s="16"/>
      <c r="F105" s="16"/>
      <c r="G105" s="16"/>
      <c r="H105" s="16"/>
      <c r="I105" s="37">
        <v>0</v>
      </c>
      <c r="J105" s="37">
        <v>0</v>
      </c>
      <c r="K105" s="37">
        <v>0</v>
      </c>
      <c r="L105" s="37">
        <v>0</v>
      </c>
    </row>
    <row r="106" spans="4:12" hidden="1" outlineLevel="1" x14ac:dyDescent="0.3">
      <c r="D106" s="16" t="s">
        <v>93</v>
      </c>
      <c r="E106" s="16"/>
      <c r="F106" s="16"/>
      <c r="G106" s="16"/>
      <c r="H106" s="16"/>
      <c r="I106" s="37">
        <v>0</v>
      </c>
      <c r="J106" s="37">
        <v>0</v>
      </c>
      <c r="K106" s="37">
        <v>0</v>
      </c>
      <c r="L106" s="37">
        <v>0</v>
      </c>
    </row>
    <row r="107" spans="4:12" hidden="1" outlineLevel="1" x14ac:dyDescent="0.3">
      <c r="D107" s="16" t="s">
        <v>94</v>
      </c>
      <c r="E107" s="16"/>
      <c r="F107" s="16"/>
      <c r="G107" s="16"/>
      <c r="H107" s="16"/>
      <c r="I107" s="37">
        <v>0</v>
      </c>
      <c r="J107" s="37">
        <v>0</v>
      </c>
      <c r="K107" s="37">
        <v>0</v>
      </c>
      <c r="L107" s="37">
        <v>0</v>
      </c>
    </row>
    <row r="108" spans="4:12" hidden="1" outlineLevel="1" x14ac:dyDescent="0.3">
      <c r="D108" s="16" t="s">
        <v>95</v>
      </c>
      <c r="E108" s="16"/>
      <c r="F108" s="16"/>
      <c r="G108" s="16"/>
      <c r="H108" s="16"/>
      <c r="I108" s="37">
        <v>0</v>
      </c>
      <c r="J108" s="37">
        <v>0</v>
      </c>
      <c r="K108" s="37">
        <v>0</v>
      </c>
      <c r="L108" s="37">
        <v>0</v>
      </c>
    </row>
    <row r="109" spans="4:12" hidden="1" outlineLevel="1" x14ac:dyDescent="0.3">
      <c r="D109" s="16" t="s">
        <v>96</v>
      </c>
      <c r="E109" s="16"/>
      <c r="F109" s="16"/>
      <c r="G109" s="16"/>
      <c r="H109" s="16"/>
      <c r="I109" s="37">
        <v>0</v>
      </c>
      <c r="J109" s="37">
        <v>0</v>
      </c>
      <c r="K109" s="37">
        <v>0</v>
      </c>
      <c r="L109" s="37">
        <v>0</v>
      </c>
    </row>
    <row r="110" spans="4:12" ht="14" collapsed="1" x14ac:dyDescent="0.4">
      <c r="D110" s="16" t="s">
        <v>97</v>
      </c>
      <c r="E110" s="16"/>
      <c r="F110" s="16"/>
      <c r="G110" s="16"/>
      <c r="H110" s="16"/>
      <c r="I110" s="37">
        <v>101889663.13999955</v>
      </c>
      <c r="J110" s="38">
        <v>1359540294.2482896</v>
      </c>
      <c r="K110" s="37">
        <v>527344669.43099964</v>
      </c>
      <c r="L110" s="37">
        <v>721332675.64099979</v>
      </c>
    </row>
    <row r="111" spans="4:12" hidden="1" outlineLevel="1" x14ac:dyDescent="0.3">
      <c r="D111" s="16" t="s">
        <v>98</v>
      </c>
      <c r="E111" s="16"/>
      <c r="F111" s="16"/>
      <c r="G111" s="16"/>
      <c r="H111" s="16"/>
      <c r="I111" s="37">
        <v>0</v>
      </c>
      <c r="J111" s="37">
        <v>0</v>
      </c>
      <c r="K111" s="37">
        <v>0</v>
      </c>
      <c r="L111" s="37">
        <v>0</v>
      </c>
    </row>
    <row r="112" spans="4:12" hidden="1" outlineLevel="1" x14ac:dyDescent="0.3">
      <c r="D112" s="16" t="s">
        <v>99</v>
      </c>
      <c r="E112" s="16"/>
      <c r="F112" s="16"/>
      <c r="G112" s="16"/>
      <c r="H112" s="16"/>
      <c r="I112" s="37">
        <v>0</v>
      </c>
      <c r="J112" s="37">
        <v>0</v>
      </c>
      <c r="K112" s="37">
        <v>0</v>
      </c>
      <c r="L112" s="37">
        <v>0</v>
      </c>
    </row>
    <row r="113" spans="4:12" hidden="1" outlineLevel="1" x14ac:dyDescent="0.3">
      <c r="D113" s="16" t="s">
        <v>100</v>
      </c>
      <c r="E113" s="16"/>
      <c r="F113" s="16"/>
      <c r="G113" s="16"/>
      <c r="H113" s="16"/>
      <c r="I113" s="37">
        <v>0</v>
      </c>
      <c r="J113" s="37">
        <v>0</v>
      </c>
      <c r="K113" s="37">
        <v>0</v>
      </c>
      <c r="L113" s="37">
        <v>0</v>
      </c>
    </row>
    <row r="114" spans="4:12" hidden="1" outlineLevel="1" x14ac:dyDescent="0.3">
      <c r="D114" s="16" t="s">
        <v>101</v>
      </c>
      <c r="E114" s="16"/>
      <c r="F114" s="16"/>
      <c r="G114" s="16"/>
      <c r="H114" s="16"/>
      <c r="I114" s="37">
        <v>0</v>
      </c>
      <c r="J114" s="37">
        <v>0</v>
      </c>
      <c r="K114" s="37">
        <v>0</v>
      </c>
      <c r="L114" s="37">
        <v>0</v>
      </c>
    </row>
    <row r="115" spans="4:12" hidden="1" outlineLevel="1" x14ac:dyDescent="0.3">
      <c r="D115" s="16" t="s">
        <v>102</v>
      </c>
      <c r="E115" s="16"/>
      <c r="F115" s="16"/>
      <c r="G115" s="16"/>
      <c r="H115" s="16"/>
      <c r="I115" s="37">
        <v>0</v>
      </c>
      <c r="J115" s="37">
        <v>0</v>
      </c>
      <c r="K115" s="37">
        <v>0</v>
      </c>
      <c r="L115" s="37">
        <v>0</v>
      </c>
    </row>
    <row r="116" spans="4:12" ht="14" collapsed="1" x14ac:dyDescent="0.4">
      <c r="D116" s="16" t="s">
        <v>98</v>
      </c>
      <c r="E116" s="16"/>
      <c r="F116" s="16"/>
      <c r="G116" s="16"/>
      <c r="H116" s="16"/>
      <c r="I116" s="37">
        <v>254897875.70999998</v>
      </c>
      <c r="J116" s="38">
        <v>254897875.70999998</v>
      </c>
      <c r="K116" s="37">
        <v>0</v>
      </c>
      <c r="L116" s="37">
        <v>0</v>
      </c>
    </row>
    <row r="117" spans="4:12" ht="14" x14ac:dyDescent="0.4">
      <c r="D117" s="16" t="s">
        <v>103</v>
      </c>
      <c r="E117" s="16"/>
      <c r="F117" s="16"/>
      <c r="G117" s="16"/>
      <c r="H117" s="16"/>
      <c r="I117" s="38">
        <v>356787538.84999955</v>
      </c>
      <c r="J117" s="37">
        <v>1614438169.9582896</v>
      </c>
      <c r="K117" s="37">
        <v>527344669.43099976</v>
      </c>
      <c r="L117" s="37">
        <v>721332675.64099979</v>
      </c>
    </row>
    <row r="118" spans="4:12" hidden="1" outlineLevel="1" x14ac:dyDescent="0.3">
      <c r="D118" s="16" t="s">
        <v>104</v>
      </c>
      <c r="E118" s="16"/>
      <c r="F118" s="16"/>
      <c r="G118" s="16"/>
      <c r="H118" s="16"/>
      <c r="I118" s="37">
        <v>0</v>
      </c>
      <c r="J118" s="37">
        <v>0</v>
      </c>
      <c r="K118" s="37">
        <v>0</v>
      </c>
      <c r="L118" s="37">
        <v>0</v>
      </c>
    </row>
    <row r="119" spans="4:12" hidden="1" outlineLevel="1" x14ac:dyDescent="0.3">
      <c r="D119" s="16" t="s">
        <v>105</v>
      </c>
      <c r="E119" s="16"/>
      <c r="F119" s="16"/>
      <c r="G119" s="16"/>
      <c r="H119" s="16"/>
      <c r="I119" s="37">
        <v>0</v>
      </c>
      <c r="J119" s="37">
        <v>0</v>
      </c>
      <c r="K119" s="37">
        <v>0</v>
      </c>
      <c r="L119" s="37">
        <v>0</v>
      </c>
    </row>
    <row r="120" spans="4:12" hidden="1" outlineLevel="1" x14ac:dyDescent="0.3">
      <c r="D120" s="16" t="s">
        <v>106</v>
      </c>
      <c r="E120" s="16"/>
      <c r="F120" s="16"/>
      <c r="G120" s="16"/>
      <c r="H120" s="16"/>
      <c r="I120" s="37">
        <v>0</v>
      </c>
      <c r="J120" s="37">
        <v>0</v>
      </c>
      <c r="K120" s="37">
        <v>0</v>
      </c>
      <c r="L120" s="37">
        <v>0</v>
      </c>
    </row>
    <row r="121" spans="4:12" collapsed="1" x14ac:dyDescent="0.3">
      <c r="D121" s="16" t="s">
        <v>107</v>
      </c>
      <c r="E121" s="16"/>
      <c r="F121" s="16"/>
      <c r="G121" s="16"/>
      <c r="H121" s="16"/>
      <c r="I121" s="37">
        <v>87801121.759999976</v>
      </c>
      <c r="J121" s="37">
        <v>87801121.759999976</v>
      </c>
      <c r="K121" s="37">
        <v>87801121.759999976</v>
      </c>
      <c r="L121" s="37">
        <v>87801121.759999976</v>
      </c>
    </row>
    <row r="122" spans="4:12" hidden="1" outlineLevel="1" x14ac:dyDescent="0.3">
      <c r="D122" s="16" t="s">
        <v>108</v>
      </c>
      <c r="E122" s="16"/>
      <c r="F122" s="16"/>
      <c r="G122" s="16"/>
      <c r="H122" s="16"/>
      <c r="I122" s="37">
        <v>0</v>
      </c>
      <c r="J122" s="37">
        <v>0</v>
      </c>
      <c r="K122" s="37">
        <v>0</v>
      </c>
      <c r="L122" s="37">
        <v>0</v>
      </c>
    </row>
    <row r="123" spans="4:12" hidden="1" outlineLevel="1" x14ac:dyDescent="0.3">
      <c r="D123" s="16" t="s">
        <v>109</v>
      </c>
      <c r="E123" s="16"/>
      <c r="F123" s="16"/>
      <c r="G123" s="16"/>
      <c r="H123" s="16"/>
      <c r="I123" s="37">
        <v>0</v>
      </c>
      <c r="J123" s="37">
        <v>0</v>
      </c>
      <c r="K123" s="37">
        <v>0</v>
      </c>
      <c r="L123" s="37">
        <v>0</v>
      </c>
    </row>
    <row r="124" spans="4:12" hidden="1" outlineLevel="1" x14ac:dyDescent="0.3">
      <c r="D124" s="16" t="s">
        <v>110</v>
      </c>
      <c r="E124" s="16"/>
      <c r="F124" s="16"/>
      <c r="G124" s="16"/>
      <c r="H124" s="16"/>
      <c r="I124" s="37">
        <v>0</v>
      </c>
      <c r="J124" s="37">
        <v>0</v>
      </c>
      <c r="K124" s="37">
        <v>0</v>
      </c>
      <c r="L124" s="37">
        <v>0</v>
      </c>
    </row>
    <row r="125" spans="4:12" hidden="1" outlineLevel="1" x14ac:dyDescent="0.3">
      <c r="D125" s="16" t="s">
        <v>111</v>
      </c>
      <c r="E125" s="16"/>
      <c r="F125" s="16"/>
      <c r="G125" s="16"/>
      <c r="H125" s="16"/>
      <c r="I125" s="37">
        <v>0</v>
      </c>
      <c r="J125" s="37">
        <v>0</v>
      </c>
      <c r="K125" s="37">
        <v>0</v>
      </c>
      <c r="L125" s="37">
        <v>0</v>
      </c>
    </row>
    <row r="126" spans="4:12" hidden="1" outlineLevel="1" x14ac:dyDescent="0.3">
      <c r="D126" s="16" t="s">
        <v>112</v>
      </c>
      <c r="E126" s="16"/>
      <c r="F126" s="16"/>
      <c r="G126" s="16"/>
      <c r="H126" s="16"/>
      <c r="I126" s="37">
        <v>0</v>
      </c>
      <c r="J126" s="37">
        <v>0</v>
      </c>
      <c r="K126" s="37">
        <v>0</v>
      </c>
      <c r="L126" s="37">
        <v>0</v>
      </c>
    </row>
    <row r="127" spans="4:12" hidden="1" outlineLevel="1" x14ac:dyDescent="0.3">
      <c r="D127" s="16" t="s">
        <v>113</v>
      </c>
      <c r="E127" s="16"/>
      <c r="F127" s="16"/>
      <c r="G127" s="16"/>
      <c r="H127" s="16"/>
      <c r="I127" s="37">
        <v>0</v>
      </c>
      <c r="J127" s="37">
        <v>0</v>
      </c>
      <c r="K127" s="37">
        <v>0</v>
      </c>
      <c r="L127" s="37">
        <v>0</v>
      </c>
    </row>
    <row r="128" spans="4:12" hidden="1" outlineLevel="1" x14ac:dyDescent="0.3">
      <c r="D128" s="16" t="s">
        <v>114</v>
      </c>
      <c r="E128" s="16"/>
      <c r="F128" s="16"/>
      <c r="G128" s="16"/>
      <c r="H128" s="16"/>
      <c r="I128" s="18"/>
      <c r="J128" s="37">
        <v>0</v>
      </c>
      <c r="K128" s="37">
        <v>0</v>
      </c>
      <c r="L128" s="37">
        <v>0</v>
      </c>
    </row>
    <row r="129" spans="1:20" collapsed="1" x14ac:dyDescent="0.3">
      <c r="D129" s="16" t="s">
        <v>115</v>
      </c>
      <c r="E129" s="16"/>
      <c r="F129" s="16"/>
      <c r="G129" s="16"/>
      <c r="H129" s="16"/>
      <c r="I129" s="37">
        <v>3102921634.5700002</v>
      </c>
      <c r="J129" s="37">
        <v>3707343493.0513115</v>
      </c>
      <c r="K129" s="37">
        <v>3909726441.8620925</v>
      </c>
      <c r="L129" s="37">
        <v>2924344613.9836721</v>
      </c>
    </row>
    <row r="130" spans="1:20" hidden="1" outlineLevel="1" x14ac:dyDescent="0.3">
      <c r="D130" s="16" t="s">
        <v>116</v>
      </c>
      <c r="E130" s="16"/>
      <c r="F130" s="16"/>
      <c r="G130" s="16"/>
      <c r="H130" s="16"/>
      <c r="I130" s="37">
        <v>0</v>
      </c>
      <c r="J130" s="37">
        <v>0</v>
      </c>
      <c r="K130" s="37">
        <v>0</v>
      </c>
      <c r="L130" s="37">
        <v>0</v>
      </c>
    </row>
    <row r="131" spans="1:20" hidden="1" outlineLevel="1" x14ac:dyDescent="0.3">
      <c r="D131" s="16" t="s">
        <v>117</v>
      </c>
      <c r="E131" s="16"/>
      <c r="F131" s="16"/>
      <c r="G131" s="16"/>
      <c r="H131" s="16"/>
      <c r="I131" s="37">
        <v>0</v>
      </c>
      <c r="J131" s="37">
        <v>0</v>
      </c>
      <c r="K131" s="37">
        <v>0</v>
      </c>
      <c r="L131" s="37">
        <v>0</v>
      </c>
    </row>
    <row r="132" spans="1:20" ht="14" collapsed="1" x14ac:dyDescent="0.4">
      <c r="D132" s="16" t="s">
        <v>107</v>
      </c>
      <c r="E132" s="16"/>
      <c r="F132" s="16"/>
      <c r="G132" s="16"/>
      <c r="H132" s="16"/>
      <c r="I132" s="20">
        <f>I95-I117</f>
        <v>3190722756.3275285</v>
      </c>
      <c r="J132" s="20">
        <f t="shared" ref="J132:L132" si="3">J95-J117</f>
        <v>3795144614.8088336</v>
      </c>
      <c r="K132" s="20">
        <f t="shared" si="3"/>
        <v>3997527563.6220922</v>
      </c>
      <c r="L132" s="20">
        <f t="shared" si="3"/>
        <v>3012145735.6649117</v>
      </c>
    </row>
    <row r="133" spans="1:20" ht="13.5" thickBot="1" x14ac:dyDescent="0.35">
      <c r="D133" s="23" t="s">
        <v>118</v>
      </c>
      <c r="E133" s="23"/>
      <c r="F133" s="23"/>
      <c r="G133" s="23"/>
      <c r="H133" s="23"/>
      <c r="I133" s="39">
        <v>3547510295.1799994</v>
      </c>
      <c r="J133" s="39">
        <v>5409582784.7696009</v>
      </c>
      <c r="K133" s="39">
        <v>4524872233.053092</v>
      </c>
      <c r="L133" s="39">
        <v>3733478411.3059115</v>
      </c>
    </row>
    <row r="134" spans="1:20" ht="13.5" thickTop="1" x14ac:dyDescent="0.3">
      <c r="D134" s="16"/>
      <c r="E134" s="16"/>
      <c r="F134" s="16"/>
      <c r="G134" s="16"/>
      <c r="H134" s="16"/>
      <c r="I134" s="21"/>
      <c r="J134" s="21"/>
      <c r="K134" s="21"/>
      <c r="L134" s="21"/>
    </row>
    <row r="135" spans="1:20" x14ac:dyDescent="0.3">
      <c r="D135" s="16" t="s">
        <v>120</v>
      </c>
      <c r="E135" s="16"/>
      <c r="F135" s="16"/>
      <c r="G135" s="16"/>
      <c r="H135" s="16"/>
      <c r="I135" s="21" t="b">
        <f>I133=I95</f>
        <v>0</v>
      </c>
      <c r="J135" s="21" t="b">
        <f t="shared" ref="J135:L135" si="4">J133=J95</f>
        <v>0</v>
      </c>
      <c r="K135" s="21" t="b">
        <f t="shared" si="4"/>
        <v>1</v>
      </c>
      <c r="L135" s="21" t="b">
        <f t="shared" si="4"/>
        <v>1</v>
      </c>
    </row>
    <row r="136" spans="1:20" x14ac:dyDescent="0.3">
      <c r="D136" s="16"/>
      <c r="E136" s="16"/>
      <c r="F136" s="16"/>
      <c r="G136" s="16"/>
      <c r="H136" s="16"/>
      <c r="I136" s="16"/>
      <c r="J136" s="16"/>
      <c r="K136" s="16"/>
      <c r="L136" s="16"/>
    </row>
    <row r="137" spans="1:20" x14ac:dyDescent="0.3">
      <c r="A137" s="7" t="s">
        <v>122</v>
      </c>
      <c r="D137" s="16"/>
      <c r="E137" s="17" t="s">
        <v>180</v>
      </c>
      <c r="F137" s="17" t="s">
        <v>178</v>
      </c>
      <c r="G137" s="17" t="s">
        <v>179</v>
      </c>
      <c r="H137" s="16" t="s">
        <v>183</v>
      </c>
      <c r="I137" s="16"/>
      <c r="J137" s="16"/>
      <c r="K137" s="16"/>
      <c r="L137" s="16"/>
    </row>
    <row r="138" spans="1:20" x14ac:dyDescent="0.3">
      <c r="B138" s="6" t="s">
        <v>123</v>
      </c>
      <c r="D138" s="16"/>
      <c r="E138" s="16"/>
      <c r="F138" s="16"/>
      <c r="G138" s="16"/>
      <c r="H138" s="16"/>
      <c r="I138" s="16"/>
      <c r="J138" s="16"/>
      <c r="K138" s="16"/>
      <c r="L138" s="16"/>
    </row>
    <row r="139" spans="1:20" x14ac:dyDescent="0.3">
      <c r="D139" s="16" t="s">
        <v>127</v>
      </c>
      <c r="E139" s="16"/>
      <c r="F139" s="16"/>
      <c r="G139" s="16"/>
      <c r="H139" s="16"/>
      <c r="I139" s="53">
        <f t="shared" ref="I139:T139" si="5">IF(I3,I9)</f>
        <v>3784294503.7239799</v>
      </c>
      <c r="J139" s="53">
        <f t="shared" si="5"/>
        <v>3884456768.0304799</v>
      </c>
      <c r="K139" s="53">
        <f t="shared" si="5"/>
        <v>5480846074.6269903</v>
      </c>
      <c r="L139" s="53">
        <f t="shared" si="5"/>
        <v>5100883000.1288099</v>
      </c>
      <c r="M139" s="53" t="b">
        <f t="shared" si="5"/>
        <v>0</v>
      </c>
      <c r="N139" s="53" t="b">
        <f t="shared" si="5"/>
        <v>0</v>
      </c>
      <c r="O139" s="53" t="b">
        <f t="shared" si="5"/>
        <v>0</v>
      </c>
      <c r="P139" s="53" t="b">
        <f t="shared" si="5"/>
        <v>0</v>
      </c>
      <c r="Q139" s="53" t="b">
        <f t="shared" si="5"/>
        <v>0</v>
      </c>
      <c r="R139" s="53" t="b">
        <f t="shared" si="5"/>
        <v>0</v>
      </c>
      <c r="S139" s="53" t="b">
        <f t="shared" si="5"/>
        <v>0</v>
      </c>
      <c r="T139" s="53" t="b">
        <f t="shared" si="5"/>
        <v>0</v>
      </c>
    </row>
    <row r="140" spans="1:20" x14ac:dyDescent="0.3">
      <c r="D140" s="16" t="s">
        <v>128</v>
      </c>
      <c r="E140" s="40">
        <v>3</v>
      </c>
      <c r="F140" s="27">
        <f>CHOOSE(E140,AVERAGEIF($3:$3,TRUE,140:140),INDEX(140:140,$F$2),G140)</f>
        <v>1.1000000000000001</v>
      </c>
      <c r="G140" s="41">
        <f>G141/100</f>
        <v>1.1000000000000001</v>
      </c>
      <c r="H140" s="41">
        <v>1</v>
      </c>
      <c r="I140" s="53"/>
      <c r="J140" s="53">
        <f t="shared" ref="J140:T140" si="6">IF(J3,J139/I139,$F$140*$H$140)</f>
        <v>1.0264678830381553</v>
      </c>
      <c r="K140" s="53">
        <f t="shared" si="6"/>
        <v>1.4109684833500982</v>
      </c>
      <c r="L140" s="53">
        <f t="shared" si="6"/>
        <v>0.93067437594038993</v>
      </c>
      <c r="M140" s="53">
        <f t="shared" si="6"/>
        <v>1.1000000000000001</v>
      </c>
      <c r="N140" s="53">
        <f t="shared" si="6"/>
        <v>1.1000000000000001</v>
      </c>
      <c r="O140" s="53">
        <f t="shared" si="6"/>
        <v>1.1000000000000001</v>
      </c>
      <c r="P140" s="53">
        <f t="shared" si="6"/>
        <v>1.1000000000000001</v>
      </c>
      <c r="Q140" s="53">
        <f t="shared" si="6"/>
        <v>1.1000000000000001</v>
      </c>
      <c r="R140" s="53">
        <f t="shared" si="6"/>
        <v>1.1000000000000001</v>
      </c>
      <c r="S140" s="53">
        <f t="shared" si="6"/>
        <v>1.1000000000000001</v>
      </c>
      <c r="T140" s="53">
        <f t="shared" si="6"/>
        <v>1.1000000000000001</v>
      </c>
    </row>
    <row r="141" spans="1:20" x14ac:dyDescent="0.3">
      <c r="D141" s="16"/>
      <c r="E141" s="16"/>
      <c r="F141" s="16"/>
      <c r="G141" s="16">
        <v>110</v>
      </c>
      <c r="H141" s="16"/>
      <c r="I141" s="53"/>
      <c r="J141" s="53"/>
      <c r="K141" s="53"/>
      <c r="L141" s="53"/>
      <c r="M141" s="54"/>
      <c r="N141" s="54"/>
      <c r="O141" s="54"/>
      <c r="P141" s="54"/>
      <c r="Q141" s="54"/>
      <c r="R141" s="54"/>
      <c r="S141" s="54"/>
      <c r="T141" s="54"/>
    </row>
    <row r="142" spans="1:20" x14ac:dyDescent="0.3">
      <c r="B142" s="6" t="s">
        <v>129</v>
      </c>
      <c r="D142" s="16"/>
      <c r="E142" s="16"/>
      <c r="F142" s="16"/>
      <c r="G142" s="16"/>
      <c r="H142" s="16"/>
      <c r="I142" s="53">
        <f t="shared" ref="I142:T142" si="7">IF(I3,I10)</f>
        <v>-21361047.050000001</v>
      </c>
      <c r="J142" s="53">
        <f t="shared" si="7"/>
        <v>-4448226</v>
      </c>
      <c r="K142" s="53">
        <f t="shared" si="7"/>
        <v>-2304166</v>
      </c>
      <c r="L142" s="53">
        <f t="shared" si="7"/>
        <v>-834699.96</v>
      </c>
      <c r="M142" s="53" t="b">
        <f t="shared" si="7"/>
        <v>0</v>
      </c>
      <c r="N142" s="53" t="b">
        <f t="shared" si="7"/>
        <v>0</v>
      </c>
      <c r="O142" s="53" t="b">
        <f t="shared" si="7"/>
        <v>0</v>
      </c>
      <c r="P142" s="53" t="b">
        <f t="shared" si="7"/>
        <v>0</v>
      </c>
      <c r="Q142" s="53" t="b">
        <f t="shared" si="7"/>
        <v>0</v>
      </c>
      <c r="R142" s="53" t="b">
        <f t="shared" si="7"/>
        <v>0</v>
      </c>
      <c r="S142" s="53" t="b">
        <f t="shared" si="7"/>
        <v>0</v>
      </c>
      <c r="T142" s="53" t="b">
        <f t="shared" si="7"/>
        <v>0</v>
      </c>
    </row>
    <row r="143" spans="1:20" x14ac:dyDescent="0.3">
      <c r="C143" s="6" t="s">
        <v>130</v>
      </c>
      <c r="E143" s="40">
        <v>3</v>
      </c>
      <c r="F143" s="26">
        <f>CHOOSE(E143,AVERAGEIF($3:$3,TRUE,143:143),INDEX(143:143,$F$2),G143)</f>
        <v>-4.0000000000000002E-4</v>
      </c>
      <c r="G143" s="42">
        <v>-4.0000000000000002E-4</v>
      </c>
      <c r="H143" s="16"/>
      <c r="I143" s="26">
        <f t="shared" ref="I143:T143" si="8">IF(I3,I142/I139,$F$143)</f>
        <v>-5.644657684273623E-3</v>
      </c>
      <c r="J143" s="26">
        <f t="shared" si="8"/>
        <v>-1.1451346393167262E-3</v>
      </c>
      <c r="K143" s="26">
        <f t="shared" si="8"/>
        <v>-4.2040334076647365E-4</v>
      </c>
      <c r="L143" s="26">
        <f t="shared" si="8"/>
        <v>-1.6363832692867523E-4</v>
      </c>
      <c r="M143" s="26">
        <f t="shared" si="8"/>
        <v>-4.0000000000000002E-4</v>
      </c>
      <c r="N143" s="26">
        <f t="shared" si="8"/>
        <v>-4.0000000000000002E-4</v>
      </c>
      <c r="O143" s="26">
        <f t="shared" si="8"/>
        <v>-4.0000000000000002E-4</v>
      </c>
      <c r="P143" s="26">
        <f t="shared" si="8"/>
        <v>-4.0000000000000002E-4</v>
      </c>
      <c r="Q143" s="26">
        <f t="shared" si="8"/>
        <v>-4.0000000000000002E-4</v>
      </c>
      <c r="R143" s="26">
        <f t="shared" si="8"/>
        <v>-4.0000000000000002E-4</v>
      </c>
      <c r="S143" s="26">
        <f t="shared" si="8"/>
        <v>-4.0000000000000002E-4</v>
      </c>
      <c r="T143" s="26">
        <f t="shared" si="8"/>
        <v>-4.0000000000000002E-4</v>
      </c>
    </row>
    <row r="144" spans="1:20" x14ac:dyDescent="0.3">
      <c r="D144" s="16"/>
      <c r="E144" s="16"/>
      <c r="F144" s="16"/>
      <c r="G144" s="16"/>
      <c r="H144" s="16"/>
      <c r="I144" s="16"/>
      <c r="J144" s="16"/>
      <c r="K144" s="16"/>
      <c r="L144" s="16"/>
    </row>
    <row r="145" spans="3:20" x14ac:dyDescent="0.3">
      <c r="C145" s="6" t="s">
        <v>131</v>
      </c>
      <c r="F145" s="16"/>
      <c r="G145" s="16"/>
      <c r="H145" s="16"/>
    </row>
    <row r="146" spans="3:20" x14ac:dyDescent="0.3">
      <c r="D146" s="6" t="s">
        <v>133</v>
      </c>
      <c r="F146" s="16"/>
      <c r="G146" s="16"/>
      <c r="H146" s="16"/>
      <c r="I146" s="19">
        <f t="shared" ref="I146:T146" si="9">IF(I3,I13)</f>
        <v>957146929.88996994</v>
      </c>
      <c r="J146" s="19">
        <f t="shared" si="9"/>
        <v>880777972.17455494</v>
      </c>
      <c r="K146" s="19">
        <f t="shared" si="9"/>
        <v>1551106815.45171</v>
      </c>
      <c r="L146" s="19">
        <f t="shared" si="9"/>
        <v>1372621773.1294601</v>
      </c>
      <c r="M146" s="19" t="b">
        <f t="shared" si="9"/>
        <v>0</v>
      </c>
      <c r="N146" s="19" t="b">
        <f t="shared" si="9"/>
        <v>0</v>
      </c>
      <c r="O146" s="19" t="b">
        <f t="shared" si="9"/>
        <v>0</v>
      </c>
      <c r="P146" s="19" t="b">
        <f t="shared" si="9"/>
        <v>0</v>
      </c>
      <c r="Q146" s="19" t="b">
        <f t="shared" si="9"/>
        <v>0</v>
      </c>
      <c r="R146" s="19" t="b">
        <f t="shared" si="9"/>
        <v>0</v>
      </c>
      <c r="S146" s="19" t="b">
        <f t="shared" si="9"/>
        <v>0</v>
      </c>
      <c r="T146" s="19" t="b">
        <f t="shared" si="9"/>
        <v>0</v>
      </c>
    </row>
    <row r="147" spans="3:20" x14ac:dyDescent="0.3">
      <c r="D147" s="6" t="s">
        <v>132</v>
      </c>
      <c r="E147" s="40">
        <v>3</v>
      </c>
      <c r="F147" s="26">
        <f>CHOOSE(E147,AVERAGEIF($3:$3,TRUE,147:147),INDEX(147:147,$F$2),G147)</f>
        <v>0.28000000000000003</v>
      </c>
      <c r="G147" s="42">
        <f>G148/100</f>
        <v>0.28000000000000003</v>
      </c>
      <c r="H147" s="16"/>
      <c r="I147" s="26">
        <f t="shared" ref="I147:T147" si="10">IF(I3,I146/I139,$F$147)</f>
        <v>0.2529261210902265</v>
      </c>
      <c r="J147" s="26">
        <f t="shared" si="10"/>
        <v>0.22674418194674159</v>
      </c>
      <c r="K147" s="26">
        <f t="shared" si="10"/>
        <v>0.28300499490989145</v>
      </c>
      <c r="L147" s="26">
        <f t="shared" si="10"/>
        <v>0.26909493377809252</v>
      </c>
      <c r="M147" s="26">
        <f t="shared" si="10"/>
        <v>0.28000000000000003</v>
      </c>
      <c r="N147" s="26">
        <f t="shared" si="10"/>
        <v>0.28000000000000003</v>
      </c>
      <c r="O147" s="26">
        <f t="shared" si="10"/>
        <v>0.28000000000000003</v>
      </c>
      <c r="P147" s="26">
        <f t="shared" si="10"/>
        <v>0.28000000000000003</v>
      </c>
      <c r="Q147" s="26">
        <f t="shared" si="10"/>
        <v>0.28000000000000003</v>
      </c>
      <c r="R147" s="26">
        <f t="shared" si="10"/>
        <v>0.28000000000000003</v>
      </c>
      <c r="S147" s="26">
        <f t="shared" si="10"/>
        <v>0.28000000000000003</v>
      </c>
      <c r="T147" s="26">
        <f t="shared" si="10"/>
        <v>0.28000000000000003</v>
      </c>
    </row>
    <row r="148" spans="3:20" x14ac:dyDescent="0.3">
      <c r="F148" s="16"/>
      <c r="G148" s="16">
        <v>28</v>
      </c>
      <c r="H148" s="16"/>
      <c r="I148" s="16"/>
      <c r="J148" s="16"/>
      <c r="K148" s="16"/>
      <c r="L148" s="16"/>
    </row>
    <row r="149" spans="3:20" x14ac:dyDescent="0.3">
      <c r="C149" s="6" t="s">
        <v>134</v>
      </c>
    </row>
    <row r="150" spans="3:20" x14ac:dyDescent="0.3">
      <c r="D150" s="6" t="s">
        <v>135</v>
      </c>
      <c r="I150" s="11">
        <f>IF(I$3,I16)</f>
        <v>862981910.15999997</v>
      </c>
      <c r="J150" s="11">
        <f t="shared" ref="J150:T150" si="11">IF(J$3,J16)</f>
        <v>1188791010.23</v>
      </c>
      <c r="K150" s="11">
        <f t="shared" si="11"/>
        <v>1254259251</v>
      </c>
      <c r="L150" s="11">
        <f t="shared" si="11"/>
        <v>1262005898.1600001</v>
      </c>
      <c r="M150" s="11" t="b">
        <f t="shared" si="11"/>
        <v>0</v>
      </c>
      <c r="N150" s="11" t="b">
        <f t="shared" si="11"/>
        <v>0</v>
      </c>
      <c r="O150" s="11" t="b">
        <f t="shared" si="11"/>
        <v>0</v>
      </c>
      <c r="P150" s="11" t="b">
        <f t="shared" si="11"/>
        <v>0</v>
      </c>
      <c r="Q150" s="11" t="b">
        <f t="shared" si="11"/>
        <v>0</v>
      </c>
      <c r="R150" s="11" t="b">
        <f t="shared" si="11"/>
        <v>0</v>
      </c>
      <c r="S150" s="11" t="b">
        <f t="shared" si="11"/>
        <v>0</v>
      </c>
      <c r="T150" s="11" t="b">
        <f t="shared" si="11"/>
        <v>0</v>
      </c>
    </row>
    <row r="151" spans="3:20" x14ac:dyDescent="0.3">
      <c r="D151" s="25" t="s">
        <v>143</v>
      </c>
      <c r="E151" s="40">
        <v>3</v>
      </c>
      <c r="F151" s="26">
        <f>CHOOSE(E151,AVERAGEIF($3:$3,TRUE,151:151),INDEX(151:151,$F$2),G151)</f>
        <v>0.1</v>
      </c>
      <c r="G151" s="42">
        <v>0.1</v>
      </c>
      <c r="J151" s="31">
        <f t="shared" ref="J151:T151" si="12">IF(J3,J150/I150-1,$F$151)</f>
        <v>0.3775387365994658</v>
      </c>
      <c r="K151" s="31">
        <f t="shared" si="12"/>
        <v>5.5071278472516028E-2</v>
      </c>
      <c r="L151" s="31">
        <f t="shared" si="12"/>
        <v>6.1762726914900146E-3</v>
      </c>
      <c r="M151" s="31">
        <f t="shared" si="12"/>
        <v>0.1</v>
      </c>
      <c r="N151" s="31">
        <f t="shared" si="12"/>
        <v>0.1</v>
      </c>
      <c r="O151" s="31">
        <f t="shared" si="12"/>
        <v>0.1</v>
      </c>
      <c r="P151" s="31">
        <f t="shared" si="12"/>
        <v>0.1</v>
      </c>
      <c r="Q151" s="31">
        <f t="shared" si="12"/>
        <v>0.1</v>
      </c>
      <c r="R151" s="31">
        <f t="shared" si="12"/>
        <v>0.1</v>
      </c>
      <c r="S151" s="31">
        <f t="shared" si="12"/>
        <v>0.1</v>
      </c>
      <c r="T151" s="31">
        <f t="shared" si="12"/>
        <v>0.1</v>
      </c>
    </row>
    <row r="152" spans="3:20" x14ac:dyDescent="0.3">
      <c r="G152" s="6">
        <v>10</v>
      </c>
    </row>
    <row r="153" spans="3:20" x14ac:dyDescent="0.3">
      <c r="C153" s="6" t="s">
        <v>136</v>
      </c>
    </row>
    <row r="154" spans="3:20" x14ac:dyDescent="0.3">
      <c r="D154" s="6" t="s">
        <v>135</v>
      </c>
      <c r="I154" s="11">
        <f>IF(I$3,I17)</f>
        <v>72073709.5</v>
      </c>
      <c r="J154" s="11">
        <f t="shared" ref="J154:T154" si="13">IF(J$3,J17)</f>
        <v>110722053.12</v>
      </c>
      <c r="K154" s="11">
        <f t="shared" si="13"/>
        <v>152974958.13999999</v>
      </c>
      <c r="L154" s="11">
        <f t="shared" si="13"/>
        <v>154521293.16</v>
      </c>
      <c r="M154" s="11" t="b">
        <f t="shared" si="13"/>
        <v>0</v>
      </c>
      <c r="N154" s="11" t="b">
        <f t="shared" si="13"/>
        <v>0</v>
      </c>
      <c r="O154" s="11" t="b">
        <f t="shared" si="13"/>
        <v>0</v>
      </c>
      <c r="P154" s="11" t="b">
        <f t="shared" si="13"/>
        <v>0</v>
      </c>
      <c r="Q154" s="11" t="b">
        <f t="shared" si="13"/>
        <v>0</v>
      </c>
      <c r="R154" s="11" t="b">
        <f t="shared" si="13"/>
        <v>0</v>
      </c>
      <c r="S154" s="11" t="b">
        <f t="shared" si="13"/>
        <v>0</v>
      </c>
      <c r="T154" s="11" t="b">
        <f t="shared" si="13"/>
        <v>0</v>
      </c>
    </row>
    <row r="155" spans="3:20" x14ac:dyDescent="0.3">
      <c r="D155" s="6" t="s">
        <v>137</v>
      </c>
      <c r="E155" s="40">
        <v>1</v>
      </c>
      <c r="F155" s="26">
        <f>CHOOSE(E155,AVERAGEIF($3:$3,TRUE,155:155),INDEX(155:155,$F$2),G155)</f>
        <v>0.10526520796006064</v>
      </c>
      <c r="G155" s="42">
        <v>0.1</v>
      </c>
      <c r="I155" s="31">
        <f t="shared" ref="I155:T155" si="14">IF(I3,I154/I150,$F$155)</f>
        <v>8.3517057138123879E-2</v>
      </c>
      <c r="J155" s="31">
        <f t="shared" si="14"/>
        <v>9.3138366766903943E-2</v>
      </c>
      <c r="K155" s="31">
        <f t="shared" si="14"/>
        <v>0.12196438496908482</v>
      </c>
      <c r="L155" s="31">
        <f t="shared" si="14"/>
        <v>0.12244102296612992</v>
      </c>
      <c r="M155" s="31">
        <f t="shared" si="14"/>
        <v>0.10526520796006064</v>
      </c>
      <c r="N155" s="31">
        <f t="shared" si="14"/>
        <v>0.10526520796006064</v>
      </c>
      <c r="O155" s="31">
        <f t="shared" si="14"/>
        <v>0.10526520796006064</v>
      </c>
      <c r="P155" s="31">
        <f t="shared" si="14"/>
        <v>0.10526520796006064</v>
      </c>
      <c r="Q155" s="31">
        <f t="shared" si="14"/>
        <v>0.10526520796006064</v>
      </c>
      <c r="R155" s="31">
        <f t="shared" si="14"/>
        <v>0.10526520796006064</v>
      </c>
      <c r="S155" s="31">
        <f t="shared" si="14"/>
        <v>0.10526520796006064</v>
      </c>
      <c r="T155" s="31">
        <f t="shared" si="14"/>
        <v>0.10526520796006064</v>
      </c>
    </row>
    <row r="157" spans="3:20" x14ac:dyDescent="0.3">
      <c r="C157" s="6" t="s">
        <v>138</v>
      </c>
    </row>
    <row r="158" spans="3:20" x14ac:dyDescent="0.3">
      <c r="D158" s="6" t="s">
        <v>135</v>
      </c>
      <c r="I158" s="11">
        <f>IF(I$3,I18)</f>
        <v>56614895.447899997</v>
      </c>
      <c r="J158" s="11">
        <f t="shared" ref="J158:T158" si="15">IF(J$3,J18)</f>
        <v>64368583.720739998</v>
      </c>
      <c r="K158" s="11">
        <f t="shared" si="15"/>
        <v>71339300.051720902</v>
      </c>
      <c r="L158" s="11">
        <f t="shared" si="15"/>
        <v>58775938.748011701</v>
      </c>
      <c r="M158" s="11" t="b">
        <f t="shared" si="15"/>
        <v>0</v>
      </c>
      <c r="N158" s="11" t="b">
        <f t="shared" si="15"/>
        <v>0</v>
      </c>
      <c r="O158" s="11" t="b">
        <f t="shared" si="15"/>
        <v>0</v>
      </c>
      <c r="P158" s="11" t="b">
        <f t="shared" si="15"/>
        <v>0</v>
      </c>
      <c r="Q158" s="11" t="b">
        <f t="shared" si="15"/>
        <v>0</v>
      </c>
      <c r="R158" s="11" t="b">
        <f t="shared" si="15"/>
        <v>0</v>
      </c>
      <c r="S158" s="11" t="b">
        <f t="shared" si="15"/>
        <v>0</v>
      </c>
      <c r="T158" s="11" t="b">
        <f t="shared" si="15"/>
        <v>0</v>
      </c>
    </row>
    <row r="159" spans="3:20" x14ac:dyDescent="0.3">
      <c r="D159" s="6" t="s">
        <v>139</v>
      </c>
      <c r="E159" s="40">
        <v>1</v>
      </c>
      <c r="F159" s="26">
        <f>CHOOSE(E159,AVERAGEIF($3:$3,TRUE,159:159),INDEX(159:159,$F$2),G159)</f>
        <v>6.3276535347610824E-2</v>
      </c>
      <c r="G159" s="42">
        <v>7.0000000000000007E-2</v>
      </c>
      <c r="I159" s="31">
        <f t="shared" ref="I159:T159" si="16">IF(I3,I158/I84,$F$159)</f>
        <v>6.7171690267931933E-2</v>
      </c>
      <c r="J159" s="31">
        <f t="shared" si="16"/>
        <v>6.2093593567199283E-2</v>
      </c>
      <c r="K159" s="31">
        <f t="shared" si="16"/>
        <v>6.9031922821020705E-2</v>
      </c>
      <c r="L159" s="31">
        <f t="shared" si="16"/>
        <v>5.4808934734291409E-2</v>
      </c>
      <c r="M159" s="31">
        <f t="shared" si="16"/>
        <v>6.3276535347610824E-2</v>
      </c>
      <c r="N159" s="31">
        <f t="shared" si="16"/>
        <v>6.3276535347610824E-2</v>
      </c>
      <c r="O159" s="31">
        <f t="shared" si="16"/>
        <v>6.3276535347610824E-2</v>
      </c>
      <c r="P159" s="31">
        <f t="shared" si="16"/>
        <v>6.3276535347610824E-2</v>
      </c>
      <c r="Q159" s="31">
        <f t="shared" si="16"/>
        <v>6.3276535347610824E-2</v>
      </c>
      <c r="R159" s="31">
        <f t="shared" si="16"/>
        <v>6.3276535347610824E-2</v>
      </c>
      <c r="S159" s="31">
        <f t="shared" si="16"/>
        <v>6.3276535347610824E-2</v>
      </c>
      <c r="T159" s="31">
        <f t="shared" si="16"/>
        <v>6.3276535347610824E-2</v>
      </c>
    </row>
    <row r="161" spans="3:20" x14ac:dyDescent="0.3">
      <c r="C161" s="6" t="s">
        <v>140</v>
      </c>
    </row>
    <row r="162" spans="3:20" x14ac:dyDescent="0.3">
      <c r="D162" s="6" t="s">
        <v>135</v>
      </c>
      <c r="I162" s="11">
        <f>IF(I$3,I19)</f>
        <v>72642084.549999997</v>
      </c>
      <c r="J162" s="11">
        <f t="shared" ref="J162:T162" si="17">IF(J$3,J19)</f>
        <v>79333028.920000002</v>
      </c>
      <c r="K162" s="11">
        <f t="shared" si="17"/>
        <v>112006184.69</v>
      </c>
      <c r="L162" s="11">
        <f t="shared" si="17"/>
        <v>129676546.41</v>
      </c>
      <c r="M162" s="11" t="b">
        <f t="shared" si="17"/>
        <v>0</v>
      </c>
      <c r="N162" s="11" t="b">
        <f t="shared" si="17"/>
        <v>0</v>
      </c>
      <c r="O162" s="11" t="b">
        <f t="shared" si="17"/>
        <v>0</v>
      </c>
      <c r="P162" s="11" t="b">
        <f t="shared" si="17"/>
        <v>0</v>
      </c>
      <c r="Q162" s="11" t="b">
        <f t="shared" si="17"/>
        <v>0</v>
      </c>
      <c r="R162" s="11" t="b">
        <f t="shared" si="17"/>
        <v>0</v>
      </c>
      <c r="S162" s="11" t="b">
        <f t="shared" si="17"/>
        <v>0</v>
      </c>
      <c r="T162" s="11" t="b">
        <f t="shared" si="17"/>
        <v>0</v>
      </c>
    </row>
    <row r="163" spans="3:20" x14ac:dyDescent="0.3">
      <c r="D163" s="25" t="s">
        <v>132</v>
      </c>
      <c r="E163" s="40">
        <v>2</v>
      </c>
      <c r="F163" s="26">
        <f>CHOOSE(E163,AVERAGEIF($3:$3,TRUE,163:163),INDEX(163:163,$F$2),G163)</f>
        <v>2.5422372245496584E-2</v>
      </c>
      <c r="G163" s="42">
        <v>0.03</v>
      </c>
      <c r="I163" s="31">
        <f t="shared" ref="I163:T163" si="18">IF(I3,I162/I139,$F$163)</f>
        <v>1.9195674247476164E-2</v>
      </c>
      <c r="J163" s="31">
        <f t="shared" si="18"/>
        <v>2.0423197800248372E-2</v>
      </c>
      <c r="K163" s="31">
        <f t="shared" si="18"/>
        <v>2.0435929629281334E-2</v>
      </c>
      <c r="L163" s="31">
        <f t="shared" si="18"/>
        <v>2.5422372245496584E-2</v>
      </c>
      <c r="M163" s="31">
        <f t="shared" si="18"/>
        <v>2.5422372245496584E-2</v>
      </c>
      <c r="N163" s="31">
        <f t="shared" si="18"/>
        <v>2.5422372245496584E-2</v>
      </c>
      <c r="O163" s="31">
        <f t="shared" si="18"/>
        <v>2.5422372245496584E-2</v>
      </c>
      <c r="P163" s="31">
        <f t="shared" si="18"/>
        <v>2.5422372245496584E-2</v>
      </c>
      <c r="Q163" s="31">
        <f t="shared" si="18"/>
        <v>2.5422372245496584E-2</v>
      </c>
      <c r="R163" s="31">
        <f t="shared" si="18"/>
        <v>2.5422372245496584E-2</v>
      </c>
      <c r="S163" s="31">
        <f t="shared" si="18"/>
        <v>2.5422372245496584E-2</v>
      </c>
      <c r="T163" s="31">
        <f t="shared" si="18"/>
        <v>2.5422372245496584E-2</v>
      </c>
    </row>
    <row r="165" spans="3:20" x14ac:dyDescent="0.3">
      <c r="C165" s="6" t="s">
        <v>141</v>
      </c>
    </row>
    <row r="166" spans="3:20" x14ac:dyDescent="0.3">
      <c r="D166" s="6" t="s">
        <v>135</v>
      </c>
      <c r="I166" s="11">
        <f>IF(I$3,I21)</f>
        <v>29024748</v>
      </c>
      <c r="J166" s="11">
        <f t="shared" ref="J166:T166" si="19">IF(J$3,J21)</f>
        <v>15499593.779999999</v>
      </c>
      <c r="K166" s="11">
        <f t="shared" si="19"/>
        <v>32550972.629999999</v>
      </c>
      <c r="L166" s="11">
        <f t="shared" si="19"/>
        <v>21749954.550000001</v>
      </c>
      <c r="M166" s="11" t="b">
        <f t="shared" si="19"/>
        <v>0</v>
      </c>
      <c r="N166" s="11" t="b">
        <f t="shared" si="19"/>
        <v>0</v>
      </c>
      <c r="O166" s="11" t="b">
        <f t="shared" si="19"/>
        <v>0</v>
      </c>
      <c r="P166" s="11" t="b">
        <f t="shared" si="19"/>
        <v>0</v>
      </c>
      <c r="Q166" s="11" t="b">
        <f t="shared" si="19"/>
        <v>0</v>
      </c>
      <c r="R166" s="11" t="b">
        <f t="shared" si="19"/>
        <v>0</v>
      </c>
      <c r="S166" s="11" t="b">
        <f t="shared" si="19"/>
        <v>0</v>
      </c>
      <c r="T166" s="11" t="b">
        <f t="shared" si="19"/>
        <v>0</v>
      </c>
    </row>
    <row r="167" spans="3:20" x14ac:dyDescent="0.3">
      <c r="D167" s="25" t="s">
        <v>137</v>
      </c>
      <c r="E167" s="40">
        <v>2</v>
      </c>
      <c r="F167" s="26">
        <f>CHOOSE(E167,AVERAGEIF($3:$3,TRUE,167:167),INDEX(167:167,$F$2),G167)</f>
        <v>1.7234431773822414E-2</v>
      </c>
      <c r="G167" s="44">
        <v>1.7999999999999999E-2</v>
      </c>
      <c r="I167" s="31">
        <f t="shared" ref="I167:T167" si="20">IF(I3,I166/I150,$F$167)</f>
        <v>3.3633089707081704E-2</v>
      </c>
      <c r="J167" s="31">
        <f t="shared" si="20"/>
        <v>1.3038114897084587E-2</v>
      </c>
      <c r="K167" s="31">
        <f t="shared" si="20"/>
        <v>2.5952348052484087E-2</v>
      </c>
      <c r="L167" s="31">
        <f t="shared" si="20"/>
        <v>1.7234431773822414E-2</v>
      </c>
      <c r="M167" s="31">
        <f t="shared" si="20"/>
        <v>1.7234431773822414E-2</v>
      </c>
      <c r="N167" s="31">
        <f t="shared" si="20"/>
        <v>1.7234431773822414E-2</v>
      </c>
      <c r="O167" s="31">
        <f t="shared" si="20"/>
        <v>1.7234431773822414E-2</v>
      </c>
      <c r="P167" s="31">
        <f t="shared" si="20"/>
        <v>1.7234431773822414E-2</v>
      </c>
      <c r="Q167" s="31">
        <f t="shared" si="20"/>
        <v>1.7234431773822414E-2</v>
      </c>
      <c r="R167" s="31">
        <f t="shared" si="20"/>
        <v>1.7234431773822414E-2</v>
      </c>
      <c r="S167" s="31">
        <f t="shared" si="20"/>
        <v>1.7234431773822414E-2</v>
      </c>
      <c r="T167" s="31">
        <f t="shared" si="20"/>
        <v>1.7234431773822414E-2</v>
      </c>
    </row>
    <row r="169" spans="3:20" x14ac:dyDescent="0.3">
      <c r="C169" s="6" t="s">
        <v>142</v>
      </c>
    </row>
    <row r="170" spans="3:20" x14ac:dyDescent="0.3">
      <c r="D170" s="6" t="s">
        <v>135</v>
      </c>
      <c r="I170" s="11">
        <f>IF(I$3,I20)</f>
        <v>191626512.56999999</v>
      </c>
      <c r="J170" s="11">
        <f t="shared" ref="J170:T170" si="21">IF(J$3,J20)</f>
        <v>203393869.31</v>
      </c>
      <c r="K170" s="11">
        <f t="shared" si="21"/>
        <v>215321702.00999999</v>
      </c>
      <c r="L170" s="11">
        <f t="shared" si="21"/>
        <v>534855986.30000001</v>
      </c>
      <c r="M170" s="11" t="b">
        <f t="shared" si="21"/>
        <v>0</v>
      </c>
      <c r="N170" s="11" t="b">
        <f t="shared" si="21"/>
        <v>0</v>
      </c>
      <c r="O170" s="11" t="b">
        <f t="shared" si="21"/>
        <v>0</v>
      </c>
      <c r="P170" s="11" t="b">
        <f t="shared" si="21"/>
        <v>0</v>
      </c>
      <c r="Q170" s="11" t="b">
        <f t="shared" si="21"/>
        <v>0</v>
      </c>
      <c r="R170" s="11" t="b">
        <f t="shared" si="21"/>
        <v>0</v>
      </c>
      <c r="S170" s="11" t="b">
        <f t="shared" si="21"/>
        <v>0</v>
      </c>
      <c r="T170" s="11" t="b">
        <f t="shared" si="21"/>
        <v>0</v>
      </c>
    </row>
    <row r="171" spans="3:20" x14ac:dyDescent="0.3">
      <c r="D171" s="25" t="s">
        <v>143</v>
      </c>
      <c r="E171" s="40">
        <v>3</v>
      </c>
      <c r="F171" s="26">
        <f>CHOOSE(E171,AVERAGEIF($3:$3,TRUE,171:171),INDEX(171:171,$F$2),G171)</f>
        <v>0.1</v>
      </c>
      <c r="G171" s="43">
        <v>0.1</v>
      </c>
      <c r="J171" s="31">
        <f t="shared" ref="J171:T171" si="22">IF(J3,J170/I170-1,$F$171)</f>
        <v>6.1407769635746234E-2</v>
      </c>
      <c r="K171" s="31">
        <f t="shared" si="22"/>
        <v>5.8644012921649891E-2</v>
      </c>
      <c r="L171" s="31">
        <f t="shared" si="22"/>
        <v>1.4839855031201648</v>
      </c>
      <c r="M171" s="31">
        <f t="shared" si="22"/>
        <v>0.1</v>
      </c>
      <c r="N171" s="31">
        <f t="shared" si="22"/>
        <v>0.1</v>
      </c>
      <c r="O171" s="31">
        <f t="shared" si="22"/>
        <v>0.1</v>
      </c>
      <c r="P171" s="31">
        <f t="shared" si="22"/>
        <v>0.1</v>
      </c>
      <c r="Q171" s="31">
        <f t="shared" si="22"/>
        <v>0.1</v>
      </c>
      <c r="R171" s="31">
        <f t="shared" si="22"/>
        <v>0.1</v>
      </c>
      <c r="S171" s="31">
        <f t="shared" si="22"/>
        <v>0.1</v>
      </c>
      <c r="T171" s="31">
        <f t="shared" si="22"/>
        <v>0.1</v>
      </c>
    </row>
    <row r="173" spans="3:20" x14ac:dyDescent="0.3">
      <c r="C173" s="6" t="s">
        <v>144</v>
      </c>
    </row>
    <row r="174" spans="3:20" x14ac:dyDescent="0.3">
      <c r="D174" s="6" t="s">
        <v>135</v>
      </c>
      <c r="I174" s="11">
        <f>IF(I$3,I22)</f>
        <v>26643103.120000001</v>
      </c>
      <c r="J174" s="11">
        <f t="shared" ref="J174:T174" si="23">IF(J$3,J22)</f>
        <v>11257925</v>
      </c>
      <c r="K174" s="11">
        <f t="shared" si="23"/>
        <v>11135795</v>
      </c>
      <c r="L174" s="11">
        <f t="shared" si="23"/>
        <v>9351226.5500000007</v>
      </c>
      <c r="M174" s="11" t="b">
        <f t="shared" si="23"/>
        <v>0</v>
      </c>
      <c r="N174" s="11" t="b">
        <f t="shared" si="23"/>
        <v>0</v>
      </c>
      <c r="O174" s="11" t="b">
        <f t="shared" si="23"/>
        <v>0</v>
      </c>
      <c r="P174" s="11" t="b">
        <f t="shared" si="23"/>
        <v>0</v>
      </c>
      <c r="Q174" s="11" t="b">
        <f t="shared" si="23"/>
        <v>0</v>
      </c>
      <c r="R174" s="11" t="b">
        <f t="shared" si="23"/>
        <v>0</v>
      </c>
      <c r="S174" s="11" t="b">
        <f t="shared" si="23"/>
        <v>0</v>
      </c>
      <c r="T174" s="11" t="b">
        <f t="shared" si="23"/>
        <v>0</v>
      </c>
    </row>
    <row r="175" spans="3:20" x14ac:dyDescent="0.3">
      <c r="D175" s="25" t="s">
        <v>162</v>
      </c>
      <c r="E175" s="40">
        <v>2</v>
      </c>
      <c r="F175" s="26">
        <f>CHOOSE(E175,AVERAGEIF($3:$3,TRUE,175:175),INDEX(175:175,$F$2),G175)</f>
        <v>1.8332564283015038E-3</v>
      </c>
      <c r="G175" s="44">
        <v>1.8E-3</v>
      </c>
      <c r="I175" s="31">
        <f t="shared" ref="I175:T175" si="24">IF(I3,I174/I139,$F$175)</f>
        <v>7.0404412483704793E-3</v>
      </c>
      <c r="J175" s="31">
        <f t="shared" si="24"/>
        <v>2.8981980421700147E-3</v>
      </c>
      <c r="K175" s="31">
        <f t="shared" si="24"/>
        <v>2.031765688796117E-3</v>
      </c>
      <c r="L175" s="31">
        <f t="shared" si="24"/>
        <v>1.8332564283015038E-3</v>
      </c>
      <c r="M175" s="31">
        <f t="shared" si="24"/>
        <v>1.8332564283015038E-3</v>
      </c>
      <c r="N175" s="31">
        <f t="shared" si="24"/>
        <v>1.8332564283015038E-3</v>
      </c>
      <c r="O175" s="31">
        <f t="shared" si="24"/>
        <v>1.8332564283015038E-3</v>
      </c>
      <c r="P175" s="31">
        <f t="shared" si="24"/>
        <v>1.8332564283015038E-3</v>
      </c>
      <c r="Q175" s="31">
        <f t="shared" si="24"/>
        <v>1.8332564283015038E-3</v>
      </c>
      <c r="R175" s="31">
        <f t="shared" si="24"/>
        <v>1.8332564283015038E-3</v>
      </c>
      <c r="S175" s="31">
        <f t="shared" si="24"/>
        <v>1.8332564283015038E-3</v>
      </c>
      <c r="T175" s="31">
        <f t="shared" si="24"/>
        <v>1.8332564283015038E-3</v>
      </c>
    </row>
    <row r="177" spans="3:20" x14ac:dyDescent="0.3">
      <c r="C177" s="6" t="s">
        <v>149</v>
      </c>
    </row>
    <row r="178" spans="3:20" x14ac:dyDescent="0.3">
      <c r="D178" s="6" t="s">
        <v>135</v>
      </c>
      <c r="I178" s="11">
        <f>IF(I$3,I23)</f>
        <v>500000</v>
      </c>
      <c r="J178" s="11">
        <f t="shared" ref="J178:T178" si="25">IF(J$3,J23)</f>
        <v>150000</v>
      </c>
      <c r="K178" s="11">
        <f t="shared" si="25"/>
        <v>17100000</v>
      </c>
      <c r="L178" s="11">
        <f t="shared" si="25"/>
        <v>1552152</v>
      </c>
      <c r="M178" s="11" t="b">
        <f t="shared" si="25"/>
        <v>0</v>
      </c>
      <c r="N178" s="11" t="b">
        <f t="shared" si="25"/>
        <v>0</v>
      </c>
      <c r="O178" s="11" t="b">
        <f t="shared" si="25"/>
        <v>0</v>
      </c>
      <c r="P178" s="11" t="b">
        <f t="shared" si="25"/>
        <v>0</v>
      </c>
      <c r="Q178" s="11" t="b">
        <f t="shared" si="25"/>
        <v>0</v>
      </c>
      <c r="R178" s="11" t="b">
        <f t="shared" si="25"/>
        <v>0</v>
      </c>
      <c r="S178" s="11" t="b">
        <f t="shared" si="25"/>
        <v>0</v>
      </c>
      <c r="T178" s="11" t="b">
        <f t="shared" si="25"/>
        <v>0</v>
      </c>
    </row>
    <row r="179" spans="3:20" x14ac:dyDescent="0.3">
      <c r="D179" s="25" t="s">
        <v>143</v>
      </c>
      <c r="E179" s="40">
        <v>3</v>
      </c>
      <c r="F179" s="26">
        <f>CHOOSE(E179,AVERAGEIF($3:$3,TRUE,179:179),INDEX(179:179,$F$2),G179)</f>
        <v>0.1</v>
      </c>
      <c r="G179" s="43">
        <v>0.1</v>
      </c>
      <c r="J179" s="31">
        <f t="shared" ref="J179:T179" si="26">IF(J3,J178/I178-1,$F$179)</f>
        <v>-0.7</v>
      </c>
      <c r="K179" s="31">
        <f t="shared" si="26"/>
        <v>113</v>
      </c>
      <c r="L179" s="31">
        <f t="shared" si="26"/>
        <v>-0.90923087719298246</v>
      </c>
      <c r="M179" s="31">
        <f t="shared" si="26"/>
        <v>0.1</v>
      </c>
      <c r="N179" s="31">
        <f t="shared" si="26"/>
        <v>0.1</v>
      </c>
      <c r="O179" s="31">
        <f t="shared" si="26"/>
        <v>0.1</v>
      </c>
      <c r="P179" s="31">
        <f t="shared" si="26"/>
        <v>0.1</v>
      </c>
      <c r="Q179" s="31">
        <f t="shared" si="26"/>
        <v>0.1</v>
      </c>
      <c r="R179" s="31">
        <f t="shared" si="26"/>
        <v>0.1</v>
      </c>
      <c r="S179" s="31">
        <f t="shared" si="26"/>
        <v>0.1</v>
      </c>
      <c r="T179" s="31">
        <f t="shared" si="26"/>
        <v>0.1</v>
      </c>
    </row>
    <row r="180" spans="3:20" x14ac:dyDescent="0.3">
      <c r="D180" s="25"/>
      <c r="E180" s="25"/>
    </row>
    <row r="181" spans="3:20" x14ac:dyDescent="0.3">
      <c r="C181" s="6" t="s">
        <v>150</v>
      </c>
      <c r="D181" s="25"/>
      <c r="E181" s="25"/>
    </row>
    <row r="182" spans="3:20" x14ac:dyDescent="0.3">
      <c r="D182" s="25" t="s">
        <v>135</v>
      </c>
      <c r="E182" s="25"/>
      <c r="I182" s="11">
        <f>IF(I$3,I25)</f>
        <v>26581800.82</v>
      </c>
      <c r="J182" s="11">
        <f t="shared" ref="J182:T182" si="27">IF(J$3,J25)</f>
        <v>36474837.258000001</v>
      </c>
      <c r="K182" s="11">
        <f t="shared" si="27"/>
        <v>28900680.57</v>
      </c>
      <c r="L182" s="11">
        <f t="shared" si="27"/>
        <v>41879776.710000001</v>
      </c>
      <c r="M182" s="11" t="b">
        <f t="shared" si="27"/>
        <v>0</v>
      </c>
      <c r="N182" s="11" t="b">
        <f t="shared" si="27"/>
        <v>0</v>
      </c>
      <c r="O182" s="11" t="b">
        <f t="shared" si="27"/>
        <v>0</v>
      </c>
      <c r="P182" s="11" t="b">
        <f t="shared" si="27"/>
        <v>0</v>
      </c>
      <c r="Q182" s="11" t="b">
        <f t="shared" si="27"/>
        <v>0</v>
      </c>
      <c r="R182" s="11" t="b">
        <f t="shared" si="27"/>
        <v>0</v>
      </c>
      <c r="S182" s="11" t="b">
        <f t="shared" si="27"/>
        <v>0</v>
      </c>
      <c r="T182" s="11" t="b">
        <f t="shared" si="27"/>
        <v>0</v>
      </c>
    </row>
    <row r="183" spans="3:20" x14ac:dyDescent="0.3">
      <c r="D183" s="25" t="s">
        <v>151</v>
      </c>
      <c r="E183" s="40">
        <v>1</v>
      </c>
      <c r="F183" s="26">
        <f>CHOOSE(E183,AVERAGEIF($3:$3,TRUE,183:183),INDEX(183:183,$F$2),G183)</f>
        <v>7.4743799257482712E-3</v>
      </c>
      <c r="G183" s="44">
        <v>8.0000000000000002E-3</v>
      </c>
      <c r="I183" s="31">
        <f t="shared" ref="I183:T183" si="28">IF(I3,I182/I139,$F$183)</f>
        <v>7.0242421127218995E-3</v>
      </c>
      <c r="J183" s="31">
        <f t="shared" si="28"/>
        <v>9.3899454765958654E-3</v>
      </c>
      <c r="K183" s="31">
        <f t="shared" si="28"/>
        <v>5.2730326990558466E-3</v>
      </c>
      <c r="L183" s="31">
        <f t="shared" si="28"/>
        <v>8.2102994146194749E-3</v>
      </c>
      <c r="M183" s="31">
        <f t="shared" si="28"/>
        <v>7.4743799257482712E-3</v>
      </c>
      <c r="N183" s="31">
        <f t="shared" si="28"/>
        <v>7.4743799257482712E-3</v>
      </c>
      <c r="O183" s="31">
        <f t="shared" si="28"/>
        <v>7.4743799257482712E-3</v>
      </c>
      <c r="P183" s="31">
        <f t="shared" si="28"/>
        <v>7.4743799257482712E-3</v>
      </c>
      <c r="Q183" s="31">
        <f t="shared" si="28"/>
        <v>7.4743799257482712E-3</v>
      </c>
      <c r="R183" s="31">
        <f t="shared" si="28"/>
        <v>7.4743799257482712E-3</v>
      </c>
      <c r="S183" s="31">
        <f t="shared" si="28"/>
        <v>7.4743799257482712E-3</v>
      </c>
      <c r="T183" s="31">
        <f t="shared" si="28"/>
        <v>7.4743799257482712E-3</v>
      </c>
    </row>
    <row r="185" spans="3:20" x14ac:dyDescent="0.3">
      <c r="C185" s="6" t="s">
        <v>145</v>
      </c>
    </row>
    <row r="186" spans="3:20" x14ac:dyDescent="0.3">
      <c r="D186" s="6" t="s">
        <v>135</v>
      </c>
      <c r="I186" s="11">
        <f>IF(I$3,I26)</f>
        <v>47814207.036078997</v>
      </c>
      <c r="J186" s="11">
        <f t="shared" ref="J186:T186" si="29">IF(J$3,J26)</f>
        <v>51319427.265880004</v>
      </c>
      <c r="K186" s="11">
        <f t="shared" si="29"/>
        <v>62167797.281478502</v>
      </c>
      <c r="L186" s="11">
        <f t="shared" si="29"/>
        <v>66084273.097655997</v>
      </c>
      <c r="M186" s="11" t="b">
        <f t="shared" si="29"/>
        <v>0</v>
      </c>
      <c r="N186" s="11" t="b">
        <f t="shared" si="29"/>
        <v>0</v>
      </c>
      <c r="O186" s="11" t="b">
        <f t="shared" si="29"/>
        <v>0</v>
      </c>
      <c r="P186" s="11" t="b">
        <f t="shared" si="29"/>
        <v>0</v>
      </c>
      <c r="Q186" s="11" t="b">
        <f t="shared" si="29"/>
        <v>0</v>
      </c>
      <c r="R186" s="11" t="b">
        <f t="shared" si="29"/>
        <v>0</v>
      </c>
      <c r="S186" s="11" t="b">
        <f t="shared" si="29"/>
        <v>0</v>
      </c>
      <c r="T186" s="11" t="b">
        <f t="shared" si="29"/>
        <v>0</v>
      </c>
    </row>
    <row r="187" spans="3:20" x14ac:dyDescent="0.3">
      <c r="D187" s="25" t="s">
        <v>132</v>
      </c>
      <c r="E187" s="40">
        <v>2</v>
      </c>
      <c r="F187" s="26">
        <f>CHOOSE(E187,AVERAGEIF($3:$3,TRUE,187:187),INDEX(187:187,$F$2),G187)</f>
        <v>1.2955457534702758E-2</v>
      </c>
      <c r="G187" s="44">
        <v>1.4E-2</v>
      </c>
      <c r="I187" s="31">
        <f t="shared" ref="I187:T187" si="30">IF(I3,I186/I139,$F$187)</f>
        <v>1.2634906450601786E-2</v>
      </c>
      <c r="J187" s="31">
        <f t="shared" si="30"/>
        <v>1.3211481123498327E-2</v>
      </c>
      <c r="K187" s="31">
        <f t="shared" si="30"/>
        <v>1.1342737313729333E-2</v>
      </c>
      <c r="L187" s="31">
        <f t="shared" si="30"/>
        <v>1.2955457534702758E-2</v>
      </c>
      <c r="M187" s="31">
        <f t="shared" si="30"/>
        <v>1.2955457534702758E-2</v>
      </c>
      <c r="N187" s="31">
        <f t="shared" si="30"/>
        <v>1.2955457534702758E-2</v>
      </c>
      <c r="O187" s="31">
        <f t="shared" si="30"/>
        <v>1.2955457534702758E-2</v>
      </c>
      <c r="P187" s="31">
        <f t="shared" si="30"/>
        <v>1.2955457534702758E-2</v>
      </c>
      <c r="Q187" s="31">
        <f t="shared" si="30"/>
        <v>1.2955457534702758E-2</v>
      </c>
      <c r="R187" s="31">
        <f t="shared" si="30"/>
        <v>1.2955457534702758E-2</v>
      </c>
      <c r="S187" s="31">
        <f t="shared" si="30"/>
        <v>1.2955457534702758E-2</v>
      </c>
      <c r="T187" s="31">
        <f t="shared" si="30"/>
        <v>1.2955457534702758E-2</v>
      </c>
    </row>
    <row r="189" spans="3:20" x14ac:dyDescent="0.3">
      <c r="C189" s="6" t="s">
        <v>146</v>
      </c>
    </row>
    <row r="190" spans="3:20" x14ac:dyDescent="0.3">
      <c r="D190" s="6" t="s">
        <v>135</v>
      </c>
      <c r="I190" s="11">
        <f>IF(I$3,I27)</f>
        <v>41723861.130000003</v>
      </c>
      <c r="J190" s="11">
        <f t="shared" ref="J190:T190" si="31">IF(J$3,J27)</f>
        <v>57158741.479999997</v>
      </c>
      <c r="K190" s="11">
        <f t="shared" si="31"/>
        <v>48440704.739999898</v>
      </c>
      <c r="L190" s="11">
        <f t="shared" si="31"/>
        <v>47010372.450000003</v>
      </c>
      <c r="M190" s="11" t="b">
        <f t="shared" si="31"/>
        <v>0</v>
      </c>
      <c r="N190" s="11" t="b">
        <f t="shared" si="31"/>
        <v>0</v>
      </c>
      <c r="O190" s="11" t="b">
        <f t="shared" si="31"/>
        <v>0</v>
      </c>
      <c r="P190" s="11" t="b">
        <f t="shared" si="31"/>
        <v>0</v>
      </c>
      <c r="Q190" s="11" t="b">
        <f t="shared" si="31"/>
        <v>0</v>
      </c>
      <c r="R190" s="11" t="b">
        <f t="shared" si="31"/>
        <v>0</v>
      </c>
      <c r="S190" s="11" t="b">
        <f t="shared" si="31"/>
        <v>0</v>
      </c>
      <c r="T190" s="11" t="b">
        <f t="shared" si="31"/>
        <v>0</v>
      </c>
    </row>
    <row r="191" spans="3:20" x14ac:dyDescent="0.3">
      <c r="D191" s="25" t="s">
        <v>148</v>
      </c>
      <c r="E191" s="40">
        <v>1</v>
      </c>
      <c r="F191" s="26">
        <f>CHOOSE(E191,AVERAGEIF($3:$3,TRUE,191:191),INDEX(191:191,$F$2),G191)</f>
        <v>4.3491504471173482E-2</v>
      </c>
      <c r="G191" s="43">
        <v>0.05</v>
      </c>
      <c r="I191" s="31">
        <f t="shared" ref="I191:T191" si="32">IF(I3,I190/I146,$F$191)</f>
        <v>4.3591908229592739E-2</v>
      </c>
      <c r="J191" s="31">
        <f t="shared" si="32"/>
        <v>6.4895743633189007E-2</v>
      </c>
      <c r="K191" s="31">
        <f t="shared" si="32"/>
        <v>3.1229767194268371E-2</v>
      </c>
      <c r="L191" s="31">
        <f t="shared" si="32"/>
        <v>3.4248598827643813E-2</v>
      </c>
      <c r="M191" s="31">
        <f t="shared" si="32"/>
        <v>4.3491504471173482E-2</v>
      </c>
      <c r="N191" s="31">
        <f t="shared" si="32"/>
        <v>4.3491504471173482E-2</v>
      </c>
      <c r="O191" s="31">
        <f t="shared" si="32"/>
        <v>4.3491504471173482E-2</v>
      </c>
      <c r="P191" s="31">
        <f t="shared" si="32"/>
        <v>4.3491504471173482E-2</v>
      </c>
      <c r="Q191" s="31">
        <f t="shared" si="32"/>
        <v>4.3491504471173482E-2</v>
      </c>
      <c r="R191" s="31">
        <f t="shared" si="32"/>
        <v>4.3491504471173482E-2</v>
      </c>
      <c r="S191" s="31">
        <f t="shared" si="32"/>
        <v>4.3491504471173482E-2</v>
      </c>
      <c r="T191" s="31">
        <f t="shared" si="32"/>
        <v>4.3491504471173482E-2</v>
      </c>
    </row>
    <row r="193" spans="3:20" x14ac:dyDescent="0.3">
      <c r="C193" s="6" t="s">
        <v>147</v>
      </c>
    </row>
    <row r="194" spans="3:20" x14ac:dyDescent="0.3">
      <c r="D194" s="6" t="s">
        <v>135</v>
      </c>
      <c r="I194" s="11">
        <f>IF(I$3,I28)</f>
        <v>187229390.90000001</v>
      </c>
      <c r="J194" s="11">
        <f t="shared" ref="J194:T194" si="33">IF(J$3,J28)</f>
        <v>374690412.97000003</v>
      </c>
      <c r="K194" s="11">
        <f t="shared" si="33"/>
        <v>341285507.56999999</v>
      </c>
      <c r="L194" s="11">
        <f t="shared" si="33"/>
        <v>321647724.83999997</v>
      </c>
      <c r="M194" s="11" t="b">
        <f t="shared" si="33"/>
        <v>0</v>
      </c>
      <c r="N194" s="11" t="b">
        <f t="shared" si="33"/>
        <v>0</v>
      </c>
      <c r="O194" s="11" t="b">
        <f t="shared" si="33"/>
        <v>0</v>
      </c>
      <c r="P194" s="11" t="b">
        <f t="shared" si="33"/>
        <v>0</v>
      </c>
      <c r="Q194" s="11" t="b">
        <f t="shared" si="33"/>
        <v>0</v>
      </c>
      <c r="R194" s="11" t="b">
        <f t="shared" si="33"/>
        <v>0</v>
      </c>
      <c r="S194" s="11" t="b">
        <f t="shared" si="33"/>
        <v>0</v>
      </c>
      <c r="T194" s="11" t="b">
        <f t="shared" si="33"/>
        <v>0</v>
      </c>
    </row>
    <row r="195" spans="3:20" x14ac:dyDescent="0.3">
      <c r="D195" s="25" t="s">
        <v>184</v>
      </c>
      <c r="E195" s="40">
        <v>3</v>
      </c>
      <c r="F195" s="26">
        <f>CHOOSE(E195,AVERAGEIF($3:$3,TRUE,195:195),INDEX(195:195,$F$2),G195)</f>
        <v>7.0000000000000007E-2</v>
      </c>
      <c r="G195" s="44">
        <v>7.0000000000000007E-2</v>
      </c>
      <c r="I195" s="31">
        <f t="shared" ref="I195:T195" si="34">IF(I3,I194/I139,$F$195)</f>
        <v>4.9475375321808256E-2</v>
      </c>
      <c r="J195" s="31">
        <f t="shared" si="34"/>
        <v>9.6458896403158523E-2</v>
      </c>
      <c r="K195" s="31">
        <f t="shared" si="34"/>
        <v>6.2268763421389615E-2</v>
      </c>
      <c r="L195" s="31">
        <f t="shared" si="34"/>
        <v>6.3057263778031683E-2</v>
      </c>
      <c r="M195" s="31">
        <f t="shared" si="34"/>
        <v>7.0000000000000007E-2</v>
      </c>
      <c r="N195" s="31">
        <f t="shared" si="34"/>
        <v>7.0000000000000007E-2</v>
      </c>
      <c r="O195" s="31">
        <f t="shared" si="34"/>
        <v>7.0000000000000007E-2</v>
      </c>
      <c r="P195" s="31">
        <f t="shared" si="34"/>
        <v>7.0000000000000007E-2</v>
      </c>
      <c r="Q195" s="31">
        <f t="shared" si="34"/>
        <v>7.0000000000000007E-2</v>
      </c>
      <c r="R195" s="31">
        <f t="shared" si="34"/>
        <v>7.0000000000000007E-2</v>
      </c>
      <c r="S195" s="31">
        <f t="shared" si="34"/>
        <v>7.0000000000000007E-2</v>
      </c>
      <c r="T195" s="31">
        <f t="shared" si="34"/>
        <v>7.0000000000000007E-2</v>
      </c>
    </row>
    <row r="197" spans="3:20" x14ac:dyDescent="0.3">
      <c r="C197" s="6" t="s">
        <v>152</v>
      </c>
    </row>
    <row r="198" spans="3:20" x14ac:dyDescent="0.3">
      <c r="D198" s="6" t="s">
        <v>135</v>
      </c>
      <c r="I198" s="11">
        <f t="shared" ref="I198:T198" si="35">IF(I3,I24)</f>
        <v>0</v>
      </c>
      <c r="J198" s="11">
        <f t="shared" si="35"/>
        <v>25464384.059999999</v>
      </c>
      <c r="K198" s="11">
        <f t="shared" si="35"/>
        <v>111089044.38</v>
      </c>
      <c r="L198" s="11">
        <f t="shared" si="35"/>
        <v>129358336.3</v>
      </c>
      <c r="M198" s="11" t="b">
        <f t="shared" si="35"/>
        <v>0</v>
      </c>
      <c r="N198" s="11" t="b">
        <f t="shared" si="35"/>
        <v>0</v>
      </c>
      <c r="O198" s="11" t="b">
        <f t="shared" si="35"/>
        <v>0</v>
      </c>
      <c r="P198" s="11" t="b">
        <f t="shared" si="35"/>
        <v>0</v>
      </c>
      <c r="Q198" s="11" t="b">
        <f t="shared" si="35"/>
        <v>0</v>
      </c>
      <c r="R198" s="11" t="b">
        <f t="shared" si="35"/>
        <v>0</v>
      </c>
      <c r="S198" s="11" t="b">
        <f t="shared" si="35"/>
        <v>0</v>
      </c>
      <c r="T198" s="11" t="b">
        <f t="shared" si="35"/>
        <v>0</v>
      </c>
    </row>
    <row r="199" spans="3:20" x14ac:dyDescent="0.3">
      <c r="D199" s="6" t="s">
        <v>153</v>
      </c>
      <c r="E199" s="40">
        <v>2</v>
      </c>
      <c r="F199" s="26">
        <f>CHOOSE(E199,AVERAGEIF($3:$3,TRUE,199:199),INDEX(199:199,$F$2),G199)</f>
        <v>0.12517440851316325</v>
      </c>
      <c r="G199" s="44">
        <v>0.1</v>
      </c>
      <c r="I199" s="32"/>
      <c r="J199" s="32">
        <f t="shared" ref="J199:T199" si="36">IF(J3,J198/I84,$F$199)</f>
        <v>3.0212644665502594E-2</v>
      </c>
      <c r="K199" s="32">
        <f t="shared" si="36"/>
        <v>0.1071628047841874</v>
      </c>
      <c r="L199" s="32">
        <f t="shared" si="36"/>
        <v>0.12517440851316325</v>
      </c>
      <c r="M199" s="32">
        <f t="shared" si="36"/>
        <v>0.12517440851316325</v>
      </c>
      <c r="N199" s="32">
        <f t="shared" si="36"/>
        <v>0.12517440851316325</v>
      </c>
      <c r="O199" s="32">
        <f t="shared" si="36"/>
        <v>0.12517440851316325</v>
      </c>
      <c r="P199" s="32">
        <f t="shared" si="36"/>
        <v>0.12517440851316325</v>
      </c>
      <c r="Q199" s="32">
        <f t="shared" si="36"/>
        <v>0.12517440851316325</v>
      </c>
      <c r="R199" s="32">
        <f t="shared" si="36"/>
        <v>0.12517440851316325</v>
      </c>
      <c r="S199" s="32">
        <f t="shared" si="36"/>
        <v>0.12517440851316325</v>
      </c>
      <c r="T199" s="32">
        <f t="shared" si="36"/>
        <v>0.12517440851316325</v>
      </c>
    </row>
    <row r="201" spans="3:20" x14ac:dyDescent="0.3">
      <c r="C201" s="6" t="s">
        <v>154</v>
      </c>
    </row>
    <row r="202" spans="3:20" x14ac:dyDescent="0.3">
      <c r="D202" s="6" t="s">
        <v>135</v>
      </c>
      <c r="I202" s="11">
        <f t="shared" ref="I202:T202" si="37">IF(I3,I45)</f>
        <v>85900300</v>
      </c>
      <c r="J202" s="11">
        <f t="shared" si="37"/>
        <v>77359000</v>
      </c>
      <c r="K202" s="11">
        <f t="shared" si="37"/>
        <v>108336134.38</v>
      </c>
      <c r="L202" s="11">
        <f t="shared" si="37"/>
        <v>62029953.939999998</v>
      </c>
      <c r="M202" s="11" t="b">
        <f t="shared" si="37"/>
        <v>0</v>
      </c>
      <c r="N202" s="11" t="b">
        <f t="shared" si="37"/>
        <v>0</v>
      </c>
      <c r="O202" s="11" t="b">
        <f t="shared" si="37"/>
        <v>0</v>
      </c>
      <c r="P202" s="11" t="b">
        <f t="shared" si="37"/>
        <v>0</v>
      </c>
      <c r="Q202" s="11" t="b">
        <f t="shared" si="37"/>
        <v>0</v>
      </c>
      <c r="R202" s="11" t="b">
        <f t="shared" si="37"/>
        <v>0</v>
      </c>
      <c r="S202" s="11" t="b">
        <f t="shared" si="37"/>
        <v>0</v>
      </c>
      <c r="T202" s="11" t="b">
        <f t="shared" si="37"/>
        <v>0</v>
      </c>
    </row>
    <row r="203" spans="3:20" x14ac:dyDescent="0.3">
      <c r="D203" s="25" t="s">
        <v>155</v>
      </c>
      <c r="E203" s="40">
        <v>3</v>
      </c>
      <c r="F203" s="26">
        <f>CHOOSE(E203,AVERAGEIF($3:$3,TRUE,203:203),INDEX(203:203,$F$2),G203)</f>
        <v>0.1</v>
      </c>
      <c r="G203" s="43">
        <v>0.1</v>
      </c>
      <c r="I203" s="31">
        <f t="shared" ref="I203:T203" si="38">IF(I3,I202/I44,$F$203)</f>
        <v>7.179876254038571E-2</v>
      </c>
      <c r="J203" s="31">
        <f t="shared" si="38"/>
        <v>0.10032390726027698</v>
      </c>
      <c r="K203" s="31">
        <f t="shared" si="38"/>
        <v>7.6653281349280164E-2</v>
      </c>
      <c r="L203" s="31">
        <f t="shared" si="38"/>
        <v>7.5370154818923507E-2</v>
      </c>
      <c r="M203" s="31">
        <f t="shared" si="38"/>
        <v>0.1</v>
      </c>
      <c r="N203" s="31">
        <f t="shared" si="38"/>
        <v>0.1</v>
      </c>
      <c r="O203" s="31">
        <f t="shared" si="38"/>
        <v>0.1</v>
      </c>
      <c r="P203" s="31">
        <f t="shared" si="38"/>
        <v>0.1</v>
      </c>
      <c r="Q203" s="31">
        <f t="shared" si="38"/>
        <v>0.1</v>
      </c>
      <c r="R203" s="31">
        <f t="shared" si="38"/>
        <v>0.1</v>
      </c>
      <c r="S203" s="31">
        <f t="shared" si="38"/>
        <v>0.1</v>
      </c>
      <c r="T203" s="31">
        <f t="shared" si="38"/>
        <v>0.1</v>
      </c>
    </row>
    <row r="205" spans="3:20" x14ac:dyDescent="0.3">
      <c r="C205" s="6" t="s">
        <v>156</v>
      </c>
    </row>
    <row r="206" spans="3:20" x14ac:dyDescent="0.3">
      <c r="D206" s="6" t="s">
        <v>157</v>
      </c>
      <c r="E206" s="34">
        <v>3</v>
      </c>
      <c r="F206" s="19">
        <f t="shared" ref="F206:F212" si="39">CHOOSE(E206,AVERAGEIF($3:$3,TRUE,206:206),INDEX(206:206,$F$2),G206)</f>
        <v>0</v>
      </c>
      <c r="G206" s="34">
        <v>0</v>
      </c>
      <c r="I206" s="11">
        <f t="shared" ref="I206:T206" si="40">IF(I$3,I33,$F$206)</f>
        <v>77126</v>
      </c>
      <c r="J206" s="11">
        <f t="shared" si="40"/>
        <v>4983537.1399999997</v>
      </c>
      <c r="K206" s="11">
        <f t="shared" si="40"/>
        <v>6616989.9000000004</v>
      </c>
      <c r="L206" s="11">
        <f t="shared" si="40"/>
        <v>52996657.210000001</v>
      </c>
      <c r="M206" s="11">
        <f t="shared" si="40"/>
        <v>0</v>
      </c>
      <c r="N206" s="11">
        <f t="shared" si="40"/>
        <v>0</v>
      </c>
      <c r="O206" s="11">
        <f t="shared" si="40"/>
        <v>0</v>
      </c>
      <c r="P206" s="11">
        <f t="shared" si="40"/>
        <v>0</v>
      </c>
      <c r="Q206" s="11">
        <f t="shared" si="40"/>
        <v>0</v>
      </c>
      <c r="R206" s="11">
        <f t="shared" si="40"/>
        <v>0</v>
      </c>
      <c r="S206" s="11">
        <f t="shared" si="40"/>
        <v>0</v>
      </c>
      <c r="T206" s="11">
        <f t="shared" si="40"/>
        <v>0</v>
      </c>
    </row>
    <row r="207" spans="3:20" x14ac:dyDescent="0.3">
      <c r="D207" s="25" t="s">
        <v>158</v>
      </c>
      <c r="E207" s="34">
        <v>3</v>
      </c>
      <c r="F207" s="19">
        <f t="shared" si="39"/>
        <v>0</v>
      </c>
      <c r="G207" s="34">
        <v>0</v>
      </c>
      <c r="I207" s="11">
        <f t="shared" ref="I207:T207" si="41">IF(I$3,I38,$F$207)</f>
        <v>3809961.38</v>
      </c>
      <c r="J207" s="11">
        <f t="shared" si="41"/>
        <v>8183528.5999999996</v>
      </c>
      <c r="K207" s="11">
        <f t="shared" si="41"/>
        <v>27515311.129999999</v>
      </c>
      <c r="L207" s="11">
        <f t="shared" si="41"/>
        <v>127792679.98999999</v>
      </c>
      <c r="M207" s="11">
        <f t="shared" si="41"/>
        <v>0</v>
      </c>
      <c r="N207" s="11">
        <f t="shared" si="41"/>
        <v>0</v>
      </c>
      <c r="O207" s="11">
        <f t="shared" si="41"/>
        <v>0</v>
      </c>
      <c r="P207" s="11">
        <f t="shared" si="41"/>
        <v>0</v>
      </c>
      <c r="Q207" s="11">
        <f t="shared" si="41"/>
        <v>0</v>
      </c>
      <c r="R207" s="11">
        <f t="shared" si="41"/>
        <v>0</v>
      </c>
      <c r="S207" s="11">
        <f t="shared" si="41"/>
        <v>0</v>
      </c>
      <c r="T207" s="11">
        <f t="shared" si="41"/>
        <v>0</v>
      </c>
    </row>
    <row r="208" spans="3:20" x14ac:dyDescent="0.3">
      <c r="D208" s="25" t="s">
        <v>156</v>
      </c>
      <c r="E208" s="34">
        <v>2</v>
      </c>
      <c r="F208" s="19">
        <f t="shared" si="39"/>
        <v>1583600</v>
      </c>
      <c r="I208" s="11">
        <f t="shared" ref="I208:T208" si="42">IF(I$3,I34,$F$208)</f>
        <v>10643597.439999999</v>
      </c>
      <c r="J208" s="11">
        <f t="shared" si="42"/>
        <v>0</v>
      </c>
      <c r="K208" s="11">
        <f t="shared" si="42"/>
        <v>0</v>
      </c>
      <c r="L208" s="11">
        <f t="shared" si="42"/>
        <v>1583600</v>
      </c>
      <c r="M208" s="11">
        <f t="shared" si="42"/>
        <v>1583600</v>
      </c>
      <c r="N208" s="11">
        <f t="shared" si="42"/>
        <v>1583600</v>
      </c>
      <c r="O208" s="11">
        <f t="shared" si="42"/>
        <v>1583600</v>
      </c>
      <c r="P208" s="11">
        <f t="shared" si="42"/>
        <v>1583600</v>
      </c>
      <c r="Q208" s="11">
        <f t="shared" si="42"/>
        <v>1583600</v>
      </c>
      <c r="R208" s="11">
        <f t="shared" si="42"/>
        <v>1583600</v>
      </c>
      <c r="S208" s="11">
        <f t="shared" si="42"/>
        <v>1583600</v>
      </c>
      <c r="T208" s="11">
        <f t="shared" si="42"/>
        <v>1583600</v>
      </c>
    </row>
    <row r="209" spans="2:20" x14ac:dyDescent="0.3">
      <c r="D209" s="25" t="s">
        <v>147</v>
      </c>
      <c r="E209" s="34">
        <v>2</v>
      </c>
      <c r="F209" s="19">
        <f t="shared" si="39"/>
        <v>35266543.189999998</v>
      </c>
      <c r="I209" s="11">
        <f t="shared" ref="I209:T209" si="43">IF(I$3,I39,$F$209)</f>
        <v>246125</v>
      </c>
      <c r="J209" s="11">
        <f t="shared" si="43"/>
        <v>4146426.88</v>
      </c>
      <c r="K209" s="11">
        <f t="shared" si="43"/>
        <v>1625000</v>
      </c>
      <c r="L209" s="11">
        <f t="shared" si="43"/>
        <v>35266543.189999998</v>
      </c>
      <c r="M209" s="11">
        <f t="shared" si="43"/>
        <v>35266543.189999998</v>
      </c>
      <c r="N209" s="11">
        <f t="shared" si="43"/>
        <v>35266543.189999998</v>
      </c>
      <c r="O209" s="11">
        <f t="shared" si="43"/>
        <v>35266543.189999998</v>
      </c>
      <c r="P209" s="11">
        <f t="shared" si="43"/>
        <v>35266543.189999998</v>
      </c>
      <c r="Q209" s="11">
        <f t="shared" si="43"/>
        <v>35266543.189999998</v>
      </c>
      <c r="R209" s="11">
        <f t="shared" si="43"/>
        <v>35266543.189999998</v>
      </c>
      <c r="S209" s="11">
        <f t="shared" si="43"/>
        <v>35266543.189999998</v>
      </c>
      <c r="T209" s="11">
        <f t="shared" si="43"/>
        <v>35266543.189999998</v>
      </c>
    </row>
    <row r="210" spans="2:20" x14ac:dyDescent="0.3">
      <c r="D210" s="25" t="s">
        <v>159</v>
      </c>
      <c r="E210" s="34">
        <v>2</v>
      </c>
      <c r="F210" s="19">
        <f t="shared" si="39"/>
        <v>0</v>
      </c>
      <c r="I210" s="11">
        <f t="shared" ref="I210:T210" si="44">IF(I$3,I41,$F$210)</f>
        <v>0</v>
      </c>
      <c r="J210" s="11">
        <f t="shared" si="44"/>
        <v>0</v>
      </c>
      <c r="K210" s="11">
        <f t="shared" si="44"/>
        <v>0</v>
      </c>
      <c r="L210" s="11">
        <f t="shared" si="44"/>
        <v>0</v>
      </c>
      <c r="M210" s="11">
        <f t="shared" si="44"/>
        <v>0</v>
      </c>
      <c r="N210" s="11">
        <f t="shared" si="44"/>
        <v>0</v>
      </c>
      <c r="O210" s="11">
        <f t="shared" si="44"/>
        <v>0</v>
      </c>
      <c r="P210" s="11">
        <f t="shared" si="44"/>
        <v>0</v>
      </c>
      <c r="Q210" s="11">
        <f t="shared" si="44"/>
        <v>0</v>
      </c>
      <c r="R210" s="11">
        <f t="shared" si="44"/>
        <v>0</v>
      </c>
      <c r="S210" s="11">
        <f t="shared" si="44"/>
        <v>0</v>
      </c>
      <c r="T210" s="11">
        <f t="shared" si="44"/>
        <v>0</v>
      </c>
    </row>
    <row r="211" spans="2:20" x14ac:dyDescent="0.3">
      <c r="D211" s="25" t="s">
        <v>160</v>
      </c>
      <c r="E211" s="34">
        <v>2</v>
      </c>
      <c r="F211" s="19">
        <f t="shared" si="39"/>
        <v>0</v>
      </c>
      <c r="I211" s="11">
        <f t="shared" ref="I211:T211" si="45">IF(I$3,I42,$F$211)</f>
        <v>0</v>
      </c>
      <c r="J211" s="11">
        <f t="shared" si="45"/>
        <v>0</v>
      </c>
      <c r="K211" s="11">
        <f t="shared" si="45"/>
        <v>0</v>
      </c>
      <c r="L211" s="11">
        <f t="shared" si="45"/>
        <v>0</v>
      </c>
      <c r="M211" s="11">
        <f t="shared" si="45"/>
        <v>0</v>
      </c>
      <c r="N211" s="11">
        <f t="shared" si="45"/>
        <v>0</v>
      </c>
      <c r="O211" s="11">
        <f t="shared" si="45"/>
        <v>0</v>
      </c>
      <c r="P211" s="11">
        <f t="shared" si="45"/>
        <v>0</v>
      </c>
      <c r="Q211" s="11">
        <f t="shared" si="45"/>
        <v>0</v>
      </c>
      <c r="R211" s="11">
        <f t="shared" si="45"/>
        <v>0</v>
      </c>
      <c r="S211" s="11">
        <f t="shared" si="45"/>
        <v>0</v>
      </c>
      <c r="T211" s="11">
        <f t="shared" si="45"/>
        <v>0</v>
      </c>
    </row>
    <row r="212" spans="2:20" x14ac:dyDescent="0.3">
      <c r="D212" s="25" t="s">
        <v>161</v>
      </c>
      <c r="E212" s="34">
        <v>2</v>
      </c>
      <c r="F212" s="19">
        <f t="shared" si="39"/>
        <v>0</v>
      </c>
      <c r="I212" s="11">
        <f t="shared" ref="I212:T212" si="46">IF(I$3,I43,$F$212)</f>
        <v>0</v>
      </c>
      <c r="J212" s="11">
        <f t="shared" si="46"/>
        <v>0</v>
      </c>
      <c r="K212" s="11">
        <f t="shared" si="46"/>
        <v>0</v>
      </c>
      <c r="L212" s="11">
        <f t="shared" si="46"/>
        <v>0</v>
      </c>
      <c r="M212" s="11">
        <f t="shared" si="46"/>
        <v>0</v>
      </c>
      <c r="N212" s="11">
        <f t="shared" si="46"/>
        <v>0</v>
      </c>
      <c r="O212" s="11">
        <f t="shared" si="46"/>
        <v>0</v>
      </c>
      <c r="P212" s="11">
        <f t="shared" si="46"/>
        <v>0</v>
      </c>
      <c r="Q212" s="11">
        <f t="shared" si="46"/>
        <v>0</v>
      </c>
      <c r="R212" s="11">
        <f t="shared" si="46"/>
        <v>0</v>
      </c>
      <c r="S212" s="11">
        <f t="shared" si="46"/>
        <v>0</v>
      </c>
      <c r="T212" s="11">
        <f t="shared" si="46"/>
        <v>0</v>
      </c>
    </row>
    <row r="213" spans="2:20" x14ac:dyDescent="0.3">
      <c r="D213" s="25" t="s">
        <v>199</v>
      </c>
      <c r="F213" s="19"/>
      <c r="I213" s="11">
        <f>I206-I207+I208-I209+I210-I211+I212</f>
        <v>6664637.0599999996</v>
      </c>
      <c r="J213" s="11">
        <f t="shared" ref="J213:T213" si="47">J206-J207+J208-J209+J210-J211+J212</f>
        <v>-7346418.3399999999</v>
      </c>
      <c r="K213" s="11">
        <f t="shared" si="47"/>
        <v>-22523321.229999997</v>
      </c>
      <c r="L213" s="11">
        <f t="shared" si="47"/>
        <v>-108478965.97</v>
      </c>
      <c r="M213" s="11">
        <f t="shared" si="47"/>
        <v>-33682943.189999998</v>
      </c>
      <c r="N213" s="11">
        <f t="shared" si="47"/>
        <v>-33682943.189999998</v>
      </c>
      <c r="O213" s="11">
        <f t="shared" si="47"/>
        <v>-33682943.189999998</v>
      </c>
      <c r="P213" s="11">
        <f t="shared" si="47"/>
        <v>-33682943.189999998</v>
      </c>
      <c r="Q213" s="11">
        <f t="shared" si="47"/>
        <v>-33682943.189999998</v>
      </c>
      <c r="R213" s="11">
        <f t="shared" si="47"/>
        <v>-33682943.189999998</v>
      </c>
      <c r="S213" s="11">
        <f t="shared" si="47"/>
        <v>-33682943.189999998</v>
      </c>
      <c r="T213" s="11">
        <f t="shared" si="47"/>
        <v>-33682943.189999998</v>
      </c>
    </row>
    <row r="215" spans="2:20" x14ac:dyDescent="0.3">
      <c r="B215" s="6" t="s">
        <v>163</v>
      </c>
    </row>
    <row r="216" spans="2:20" x14ac:dyDescent="0.3">
      <c r="C216" s="6" t="s">
        <v>164</v>
      </c>
      <c r="J216" s="11">
        <f t="shared" ref="J216:T216" si="48">IF(J3,J84-I84)</f>
        <v>193799450.98000002</v>
      </c>
      <c r="K216" s="11">
        <f t="shared" si="48"/>
        <v>-3213295.9327999353</v>
      </c>
      <c r="L216" s="11">
        <f t="shared" si="48"/>
        <v>38953997.610000014</v>
      </c>
      <c r="M216" s="11" t="b">
        <f t="shared" si="48"/>
        <v>0</v>
      </c>
      <c r="N216" s="11" t="b">
        <f t="shared" si="48"/>
        <v>0</v>
      </c>
      <c r="O216" s="11" t="b">
        <f t="shared" si="48"/>
        <v>0</v>
      </c>
      <c r="P216" s="11" t="b">
        <f t="shared" si="48"/>
        <v>0</v>
      </c>
      <c r="Q216" s="11" t="b">
        <f t="shared" si="48"/>
        <v>0</v>
      </c>
      <c r="R216" s="11" t="b">
        <f t="shared" si="48"/>
        <v>0</v>
      </c>
      <c r="S216" s="11" t="b">
        <f t="shared" si="48"/>
        <v>0</v>
      </c>
      <c r="T216" s="11" t="b">
        <f t="shared" si="48"/>
        <v>0</v>
      </c>
    </row>
    <row r="217" spans="2:20" x14ac:dyDescent="0.3">
      <c r="C217" s="6" t="s">
        <v>165</v>
      </c>
      <c r="G217" s="6" t="s">
        <v>271</v>
      </c>
      <c r="H217" s="6" t="s">
        <v>272</v>
      </c>
      <c r="J217" s="11">
        <f>J198</f>
        <v>25464384.059999999</v>
      </c>
      <c r="K217" s="11">
        <f t="shared" ref="K217:T217" si="49">K198</f>
        <v>111089044.38</v>
      </c>
      <c r="L217" s="11">
        <f t="shared" si="49"/>
        <v>129358336.3</v>
      </c>
      <c r="M217" s="11" t="b">
        <f t="shared" si="49"/>
        <v>0</v>
      </c>
      <c r="N217" s="11" t="b">
        <f t="shared" si="49"/>
        <v>0</v>
      </c>
      <c r="O217" s="11" t="b">
        <f t="shared" si="49"/>
        <v>0</v>
      </c>
      <c r="P217" s="11" t="b">
        <f t="shared" si="49"/>
        <v>0</v>
      </c>
      <c r="Q217" s="11" t="b">
        <f t="shared" si="49"/>
        <v>0</v>
      </c>
      <c r="R217" s="11" t="b">
        <f t="shared" si="49"/>
        <v>0</v>
      </c>
      <c r="S217" s="11" t="b">
        <f t="shared" si="49"/>
        <v>0</v>
      </c>
      <c r="T217" s="11" t="b">
        <f t="shared" si="49"/>
        <v>0</v>
      </c>
    </row>
    <row r="218" spans="2:20" x14ac:dyDescent="0.3">
      <c r="C218" s="6" t="s">
        <v>181</v>
      </c>
      <c r="I218" s="11">
        <f t="shared" ref="I218:T218" si="50">IF(I3,1,H218*(1+$H$219))</f>
        <v>1</v>
      </c>
      <c r="J218" s="11">
        <f t="shared" si="50"/>
        <v>1</v>
      </c>
      <c r="K218" s="11">
        <f t="shared" si="50"/>
        <v>1</v>
      </c>
      <c r="L218" s="11">
        <f t="shared" si="50"/>
        <v>1</v>
      </c>
      <c r="M218" s="11">
        <f t="shared" si="50"/>
        <v>1.1000000000000001</v>
      </c>
      <c r="N218" s="11">
        <f t="shared" si="50"/>
        <v>1.2100000000000002</v>
      </c>
      <c r="O218" s="11">
        <f t="shared" si="50"/>
        <v>1.3310000000000004</v>
      </c>
      <c r="P218" s="11">
        <f t="shared" si="50"/>
        <v>1.4641000000000006</v>
      </c>
      <c r="Q218" s="11">
        <f t="shared" si="50"/>
        <v>1.6105100000000008</v>
      </c>
      <c r="R218" s="11">
        <f t="shared" si="50"/>
        <v>1.7715610000000011</v>
      </c>
      <c r="S218" s="11">
        <f t="shared" si="50"/>
        <v>1.9487171000000014</v>
      </c>
      <c r="T218" s="11">
        <f t="shared" si="50"/>
        <v>2.1435888100000016</v>
      </c>
    </row>
    <row r="219" spans="2:20" x14ac:dyDescent="0.3">
      <c r="C219" s="6" t="s">
        <v>166</v>
      </c>
      <c r="E219" s="40">
        <v>3</v>
      </c>
      <c r="F219" s="55">
        <f>CHOOSE(E219,AVERAGEIF($3:$3,TRUE,219:219),INDEX(219:219,$F$2),G219)</f>
        <v>154000000</v>
      </c>
      <c r="G219" s="45">
        <f>G220*1000000</f>
        <v>154000000</v>
      </c>
      <c r="H219" s="43">
        <v>0.1</v>
      </c>
      <c r="J219" s="11">
        <f t="shared" ref="J219:T219" si="51">IF(J3,J216+J217,$F$219)*J218</f>
        <v>219263835.04000002</v>
      </c>
      <c r="K219" s="11">
        <f t="shared" si="51"/>
        <v>107875748.44720006</v>
      </c>
      <c r="L219" s="11">
        <f t="shared" si="51"/>
        <v>168312333.91000003</v>
      </c>
      <c r="M219" s="11">
        <f t="shared" si="51"/>
        <v>169400000</v>
      </c>
      <c r="N219" s="11">
        <f t="shared" si="51"/>
        <v>186340000.00000003</v>
      </c>
      <c r="O219" s="11">
        <f t="shared" si="51"/>
        <v>204974000.00000006</v>
      </c>
      <c r="P219" s="11">
        <f t="shared" si="51"/>
        <v>225471400.00000009</v>
      </c>
      <c r="Q219" s="11">
        <f t="shared" si="51"/>
        <v>248018540.00000012</v>
      </c>
      <c r="R219" s="11">
        <f t="shared" si="51"/>
        <v>272820394.00000018</v>
      </c>
      <c r="S219" s="11">
        <f t="shared" si="51"/>
        <v>300102433.40000021</v>
      </c>
      <c r="T219" s="11">
        <f t="shared" si="51"/>
        <v>330112676.74000025</v>
      </c>
    </row>
    <row r="220" spans="2:20" x14ac:dyDescent="0.3">
      <c r="G220" s="11">
        <v>154</v>
      </c>
    </row>
    <row r="221" spans="2:20" x14ac:dyDescent="0.3">
      <c r="C221" s="25" t="s">
        <v>167</v>
      </c>
      <c r="I221" s="11">
        <f t="shared" ref="I221:T221" si="52">IF(I3,I60)</f>
        <v>1245139764.7676899</v>
      </c>
      <c r="J221" s="11">
        <f t="shared" si="52"/>
        <v>2036003278.9981699</v>
      </c>
      <c r="K221" s="11">
        <f t="shared" si="52"/>
        <v>1472013088.9761636</v>
      </c>
      <c r="L221" s="11">
        <f t="shared" si="52"/>
        <v>614928927.08496583</v>
      </c>
      <c r="M221" s="11" t="b">
        <f t="shared" si="52"/>
        <v>0</v>
      </c>
      <c r="N221" s="11" t="b">
        <f t="shared" si="52"/>
        <v>0</v>
      </c>
      <c r="O221" s="11" t="b">
        <f t="shared" si="52"/>
        <v>0</v>
      </c>
      <c r="P221" s="11" t="b">
        <f t="shared" si="52"/>
        <v>0</v>
      </c>
      <c r="Q221" s="11" t="b">
        <f t="shared" si="52"/>
        <v>0</v>
      </c>
      <c r="R221" s="11" t="b">
        <f t="shared" si="52"/>
        <v>0</v>
      </c>
      <c r="S221" s="11" t="b">
        <f t="shared" si="52"/>
        <v>0</v>
      </c>
      <c r="T221" s="11" t="b">
        <f t="shared" si="52"/>
        <v>0</v>
      </c>
    </row>
    <row r="222" spans="2:20" x14ac:dyDescent="0.3">
      <c r="C222" s="25" t="s">
        <v>168</v>
      </c>
      <c r="F222" s="31">
        <f>INDEX(222:222,$F$2)</f>
        <v>0.12055342713593653</v>
      </c>
      <c r="G222" s="43">
        <v>0.2</v>
      </c>
      <c r="I222" s="31">
        <f t="shared" ref="I222:T222" si="53">IF(I3,I221/I139,$F$222)</f>
        <v>0.32902824120649049</v>
      </c>
      <c r="J222" s="31">
        <f t="shared" si="53"/>
        <v>0.52414105770328245</v>
      </c>
      <c r="K222" s="31">
        <f t="shared" si="53"/>
        <v>0.26857406118203098</v>
      </c>
      <c r="L222" s="31">
        <f t="shared" si="53"/>
        <v>0.12055342713593653</v>
      </c>
      <c r="M222" s="31">
        <f t="shared" si="53"/>
        <v>0.12055342713593653</v>
      </c>
      <c r="N222" s="31">
        <f t="shared" si="53"/>
        <v>0.12055342713593653</v>
      </c>
      <c r="O222" s="31">
        <f t="shared" si="53"/>
        <v>0.12055342713593653</v>
      </c>
      <c r="P222" s="31">
        <f t="shared" si="53"/>
        <v>0.12055342713593653</v>
      </c>
      <c r="Q222" s="31">
        <f t="shared" si="53"/>
        <v>0.12055342713593653</v>
      </c>
      <c r="R222" s="31">
        <f t="shared" si="53"/>
        <v>0.12055342713593653</v>
      </c>
      <c r="S222" s="31">
        <f t="shared" si="53"/>
        <v>0.12055342713593653</v>
      </c>
      <c r="T222" s="31">
        <f t="shared" si="53"/>
        <v>0.12055342713593653</v>
      </c>
    </row>
    <row r="224" spans="2:20" x14ac:dyDescent="0.3">
      <c r="C224" s="25" t="s">
        <v>59</v>
      </c>
      <c r="I224" s="11">
        <f t="shared" ref="I224:T224" si="54">IF(I3,I65)</f>
        <v>1092132238.2381248</v>
      </c>
      <c r="J224" s="11">
        <f t="shared" si="54"/>
        <v>1614585981.0089502</v>
      </c>
      <c r="K224" s="11">
        <f t="shared" si="54"/>
        <v>1501776768.6604426</v>
      </c>
      <c r="L224" s="11">
        <f t="shared" si="54"/>
        <v>1615311080.3556349</v>
      </c>
      <c r="M224" s="11" t="b">
        <f t="shared" si="54"/>
        <v>0</v>
      </c>
      <c r="N224" s="11" t="b">
        <f t="shared" si="54"/>
        <v>0</v>
      </c>
      <c r="O224" s="11" t="b">
        <f t="shared" si="54"/>
        <v>0</v>
      </c>
      <c r="P224" s="11" t="b">
        <f t="shared" si="54"/>
        <v>0</v>
      </c>
      <c r="Q224" s="11" t="b">
        <f t="shared" si="54"/>
        <v>0</v>
      </c>
      <c r="R224" s="11" t="b">
        <f t="shared" si="54"/>
        <v>0</v>
      </c>
      <c r="S224" s="11" t="b">
        <f t="shared" si="54"/>
        <v>0</v>
      </c>
      <c r="T224" s="11" t="b">
        <f t="shared" si="54"/>
        <v>0</v>
      </c>
    </row>
    <row r="225" spans="1:20" x14ac:dyDescent="0.3">
      <c r="C225" s="25" t="s">
        <v>169</v>
      </c>
      <c r="F225" s="31">
        <f>INDEX(225:225,$F$2)</f>
        <v>1.1768071234021473</v>
      </c>
      <c r="G225" s="43">
        <v>1</v>
      </c>
      <c r="I225" s="31">
        <f t="shared" ref="I225:T225" si="55">IF(I3,I224/I146,$F$225)</f>
        <v>1.1410288265393824</v>
      </c>
      <c r="J225" s="31">
        <f t="shared" si="55"/>
        <v>1.8331361955189398</v>
      </c>
      <c r="K225" s="31">
        <f t="shared" si="55"/>
        <v>0.96819687316189018</v>
      </c>
      <c r="L225" s="31">
        <f t="shared" si="55"/>
        <v>1.1768071234021473</v>
      </c>
      <c r="M225" s="31">
        <f t="shared" si="55"/>
        <v>1.1768071234021473</v>
      </c>
      <c r="N225" s="31">
        <f t="shared" si="55"/>
        <v>1.1768071234021473</v>
      </c>
      <c r="O225" s="31">
        <f t="shared" si="55"/>
        <v>1.1768071234021473</v>
      </c>
      <c r="P225" s="31">
        <f t="shared" si="55"/>
        <v>1.1768071234021473</v>
      </c>
      <c r="Q225" s="31">
        <f t="shared" si="55"/>
        <v>1.1768071234021473</v>
      </c>
      <c r="R225" s="31">
        <f t="shared" si="55"/>
        <v>1.1768071234021473</v>
      </c>
      <c r="S225" s="31">
        <f t="shared" si="55"/>
        <v>1.1768071234021473</v>
      </c>
      <c r="T225" s="31">
        <f t="shared" si="55"/>
        <v>1.1768071234021473</v>
      </c>
    </row>
    <row r="227" spans="1:20" x14ac:dyDescent="0.3">
      <c r="C227" s="25" t="s">
        <v>85</v>
      </c>
      <c r="I227" s="11">
        <f t="shared" ref="I227:T227" si="56">IF(I3,I110+I116)</f>
        <v>356787538.84999955</v>
      </c>
      <c r="J227" s="11">
        <f t="shared" si="56"/>
        <v>1614438169.9582896</v>
      </c>
      <c r="K227" s="11">
        <f t="shared" si="56"/>
        <v>527344669.43099964</v>
      </c>
      <c r="L227" s="11">
        <f t="shared" si="56"/>
        <v>721332675.64099979</v>
      </c>
      <c r="M227" s="11" t="b">
        <f t="shared" si="56"/>
        <v>0</v>
      </c>
      <c r="N227" s="11" t="b">
        <f t="shared" si="56"/>
        <v>0</v>
      </c>
      <c r="O227" s="11" t="b">
        <f t="shared" si="56"/>
        <v>0</v>
      </c>
      <c r="P227" s="11" t="b">
        <f t="shared" si="56"/>
        <v>0</v>
      </c>
      <c r="Q227" s="11" t="b">
        <f t="shared" si="56"/>
        <v>0</v>
      </c>
      <c r="R227" s="11" t="b">
        <f t="shared" si="56"/>
        <v>0</v>
      </c>
      <c r="S227" s="11" t="b">
        <f t="shared" si="56"/>
        <v>0</v>
      </c>
      <c r="T227" s="11" t="b">
        <f t="shared" si="56"/>
        <v>0</v>
      </c>
    </row>
    <row r="228" spans="1:20" x14ac:dyDescent="0.3">
      <c r="C228" s="25" t="s">
        <v>170</v>
      </c>
      <c r="F228" s="31">
        <f>INDEX(228:228,$F$2)</f>
        <v>0.52551452247214692</v>
      </c>
      <c r="G228" s="43">
        <v>0.55000000000000004</v>
      </c>
      <c r="I228" s="32">
        <f t="shared" ref="I228:T228" si="57">IF(I3,I227/I146,$F$228)</f>
        <v>0.37276151415019898</v>
      </c>
      <c r="J228" s="32">
        <f t="shared" si="57"/>
        <v>1.8329683767776335</v>
      </c>
      <c r="K228" s="32">
        <f t="shared" si="57"/>
        <v>0.33997959661948068</v>
      </c>
      <c r="L228" s="32">
        <f t="shared" si="57"/>
        <v>0.52551452247214692</v>
      </c>
      <c r="M228" s="32">
        <f t="shared" si="57"/>
        <v>0.52551452247214692</v>
      </c>
      <c r="N228" s="32">
        <f t="shared" si="57"/>
        <v>0.52551452247214692</v>
      </c>
      <c r="O228" s="32">
        <f t="shared" si="57"/>
        <v>0.52551452247214692</v>
      </c>
      <c r="P228" s="32">
        <f t="shared" si="57"/>
        <v>0.52551452247214692</v>
      </c>
      <c r="Q228" s="32">
        <f t="shared" si="57"/>
        <v>0.52551452247214692</v>
      </c>
      <c r="R228" s="32">
        <f t="shared" si="57"/>
        <v>0.52551452247214692</v>
      </c>
      <c r="S228" s="32">
        <f t="shared" si="57"/>
        <v>0.52551452247214692</v>
      </c>
      <c r="T228" s="32">
        <f t="shared" si="57"/>
        <v>0.52551452247214692</v>
      </c>
    </row>
    <row r="229" spans="1:20" x14ac:dyDescent="0.3">
      <c r="C229" s="25"/>
      <c r="F229" s="31"/>
      <c r="G229" s="29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</row>
    <row r="230" spans="1:20" x14ac:dyDescent="0.3">
      <c r="C230" s="25" t="s">
        <v>231</v>
      </c>
      <c r="F230" s="31"/>
      <c r="G230" s="29"/>
      <c r="I230" s="47">
        <f t="shared" ref="I230:T230" si="58">IF(I3,I129)</f>
        <v>3102921634.5700002</v>
      </c>
      <c r="J230" s="47">
        <f t="shared" si="58"/>
        <v>3707343493.0513115</v>
      </c>
      <c r="K230" s="47">
        <f t="shared" si="58"/>
        <v>3909726441.8620925</v>
      </c>
      <c r="L230" s="47">
        <f t="shared" si="58"/>
        <v>2924344613.9836721</v>
      </c>
      <c r="M230" s="47" t="b">
        <f t="shared" si="58"/>
        <v>0</v>
      </c>
      <c r="N230" s="47" t="b">
        <f t="shared" si="58"/>
        <v>0</v>
      </c>
      <c r="O230" s="47" t="b">
        <f t="shared" si="58"/>
        <v>0</v>
      </c>
      <c r="P230" s="47" t="b">
        <f t="shared" si="58"/>
        <v>0</v>
      </c>
      <c r="Q230" s="47" t="b">
        <f t="shared" si="58"/>
        <v>0</v>
      </c>
      <c r="R230" s="47" t="b">
        <f t="shared" si="58"/>
        <v>0</v>
      </c>
      <c r="S230" s="47" t="b">
        <f t="shared" si="58"/>
        <v>0</v>
      </c>
      <c r="T230" s="47" t="b">
        <f t="shared" si="58"/>
        <v>0</v>
      </c>
    </row>
    <row r="231" spans="1:20" x14ac:dyDescent="0.3">
      <c r="C231" s="25" t="s">
        <v>232</v>
      </c>
      <c r="F231" s="31"/>
      <c r="G231" s="29"/>
      <c r="I231" s="47">
        <f t="shared" ref="I231:T231" si="59">IF(I3,I46)</f>
        <v>1110503328.1500311</v>
      </c>
      <c r="J231" s="47">
        <f t="shared" si="59"/>
        <v>693733375.81130493</v>
      </c>
      <c r="K231" s="47">
        <f t="shared" si="59"/>
        <v>1304990633.5420799</v>
      </c>
      <c r="L231" s="47">
        <f t="shared" si="59"/>
        <v>760974245.65368152</v>
      </c>
      <c r="M231" s="47" t="b">
        <f t="shared" si="59"/>
        <v>0</v>
      </c>
      <c r="N231" s="47" t="b">
        <f t="shared" si="59"/>
        <v>0</v>
      </c>
      <c r="O231" s="47" t="b">
        <f t="shared" si="59"/>
        <v>0</v>
      </c>
      <c r="P231" s="47" t="b">
        <f t="shared" si="59"/>
        <v>0</v>
      </c>
      <c r="Q231" s="47" t="b">
        <f t="shared" si="59"/>
        <v>0</v>
      </c>
      <c r="R231" s="47" t="b">
        <f t="shared" si="59"/>
        <v>0</v>
      </c>
      <c r="S231" s="47" t="b">
        <f t="shared" si="59"/>
        <v>0</v>
      </c>
      <c r="T231" s="47" t="b">
        <f t="shared" si="59"/>
        <v>0</v>
      </c>
    </row>
    <row r="232" spans="1:20" x14ac:dyDescent="0.3">
      <c r="C232" s="25" t="s">
        <v>233</v>
      </c>
      <c r="F232" s="31"/>
      <c r="G232" s="29"/>
      <c r="I232" s="32"/>
      <c r="J232" s="47">
        <f>J231-(J230-I230)</f>
        <v>89311517.329993606</v>
      </c>
      <c r="K232" s="47">
        <f t="shared" ref="K232:L232" si="60">K231-(K230-J230)</f>
        <v>1102607684.7312989</v>
      </c>
      <c r="L232" s="47">
        <f t="shared" si="60"/>
        <v>1746356073.5321019</v>
      </c>
      <c r="M232" s="47">
        <f t="shared" ref="M232" si="61">M231-(M230-L230)</f>
        <v>2924344613.9836721</v>
      </c>
      <c r="N232" s="47">
        <f t="shared" ref="N232" si="62">N231-(N230-M230)</f>
        <v>0</v>
      </c>
      <c r="O232" s="47">
        <f t="shared" ref="O232" si="63">O231-(O230-N230)</f>
        <v>0</v>
      </c>
      <c r="P232" s="47">
        <f t="shared" ref="P232" si="64">P231-(P230-O230)</f>
        <v>0</v>
      </c>
      <c r="Q232" s="47">
        <f t="shared" ref="Q232" si="65">Q231-(Q230-P230)</f>
        <v>0</v>
      </c>
      <c r="R232" s="47">
        <f t="shared" ref="R232" si="66">R231-(R230-Q230)</f>
        <v>0</v>
      </c>
      <c r="S232" s="47">
        <f t="shared" ref="S232" si="67">S231-(S230-R230)</f>
        <v>0</v>
      </c>
      <c r="T232" s="47">
        <f t="shared" ref="T232" si="68">T231-(T230-S230)</f>
        <v>0</v>
      </c>
    </row>
    <row r="234" spans="1:20" x14ac:dyDescent="0.3">
      <c r="A234" s="7" t="s">
        <v>171</v>
      </c>
    </row>
    <row r="235" spans="1:20" x14ac:dyDescent="0.3">
      <c r="C235" s="6" t="s">
        <v>123</v>
      </c>
    </row>
    <row r="236" spans="1:20" x14ac:dyDescent="0.3">
      <c r="D236" s="6" t="s">
        <v>273</v>
      </c>
      <c r="E236" s="6">
        <v>1</v>
      </c>
      <c r="I236" s="30">
        <f>I140</f>
        <v>0</v>
      </c>
      <c r="J236" s="30">
        <f t="shared" ref="J236:T236" si="69">J140</f>
        <v>1.0264678830381553</v>
      </c>
      <c r="K236" s="30">
        <f t="shared" si="69"/>
        <v>1.4109684833500982</v>
      </c>
      <c r="L236" s="30">
        <f t="shared" si="69"/>
        <v>0.93067437594038993</v>
      </c>
      <c r="M236" s="30">
        <f t="shared" si="69"/>
        <v>1.1000000000000001</v>
      </c>
      <c r="N236" s="30">
        <f t="shared" si="69"/>
        <v>1.1000000000000001</v>
      </c>
      <c r="O236" s="30">
        <f t="shared" si="69"/>
        <v>1.1000000000000001</v>
      </c>
      <c r="P236" s="30">
        <f t="shared" si="69"/>
        <v>1.1000000000000001</v>
      </c>
      <c r="Q236" s="30">
        <f t="shared" si="69"/>
        <v>1.1000000000000001</v>
      </c>
      <c r="R236" s="30">
        <f t="shared" si="69"/>
        <v>1.1000000000000001</v>
      </c>
      <c r="S236" s="30">
        <f t="shared" si="69"/>
        <v>1.1000000000000001</v>
      </c>
      <c r="T236" s="30">
        <f t="shared" si="69"/>
        <v>1.1000000000000001</v>
      </c>
    </row>
    <row r="237" spans="1:20" x14ac:dyDescent="0.3">
      <c r="D237" s="6" t="s">
        <v>182</v>
      </c>
      <c r="E237" s="6">
        <f>IF(D237="",E236,E236+1)</f>
        <v>2</v>
      </c>
      <c r="I237" s="11">
        <f t="shared" ref="I237:T237" si="70">IF(I3,I139,H237*I236)</f>
        <v>3784294503.7239799</v>
      </c>
      <c r="J237" s="11">
        <f t="shared" si="70"/>
        <v>3884456768.0304799</v>
      </c>
      <c r="K237" s="11">
        <f t="shared" si="70"/>
        <v>5480846074.6269903</v>
      </c>
      <c r="L237" s="11">
        <f t="shared" si="70"/>
        <v>5100883000.1288099</v>
      </c>
      <c r="M237" s="11">
        <f t="shared" si="70"/>
        <v>5610971300.1416912</v>
      </c>
      <c r="N237" s="11">
        <f t="shared" si="70"/>
        <v>6172068430.1558609</v>
      </c>
      <c r="O237" s="11">
        <f t="shared" si="70"/>
        <v>6789275273.1714478</v>
      </c>
      <c r="P237" s="11">
        <f t="shared" si="70"/>
        <v>7468202800.4885931</v>
      </c>
      <c r="Q237" s="11">
        <f t="shared" si="70"/>
        <v>8215023080.5374527</v>
      </c>
      <c r="R237" s="11">
        <f t="shared" si="70"/>
        <v>9036525388.591198</v>
      </c>
      <c r="S237" s="11">
        <f t="shared" si="70"/>
        <v>9940177927.4503193</v>
      </c>
      <c r="T237" s="11">
        <f t="shared" si="70"/>
        <v>10934195720.195353</v>
      </c>
    </row>
    <row r="238" spans="1:20" x14ac:dyDescent="0.3">
      <c r="E238" s="6">
        <f t="shared" ref="E238:E301" si="71">IF(D238="",E237,E237+1)</f>
        <v>2</v>
      </c>
    </row>
    <row r="239" spans="1:20" x14ac:dyDescent="0.3">
      <c r="C239" s="6" t="s">
        <v>129</v>
      </c>
      <c r="E239" s="6">
        <f t="shared" si="71"/>
        <v>2</v>
      </c>
    </row>
    <row r="240" spans="1:20" x14ac:dyDescent="0.3">
      <c r="D240" s="25" t="s">
        <v>274</v>
      </c>
      <c r="E240" s="6">
        <f t="shared" si="71"/>
        <v>3</v>
      </c>
      <c r="I240" s="31">
        <f>I143</f>
        <v>-5.644657684273623E-3</v>
      </c>
      <c r="J240" s="31">
        <f t="shared" ref="J240:T240" si="72">J143</f>
        <v>-1.1451346393167262E-3</v>
      </c>
      <c r="K240" s="31">
        <f t="shared" si="72"/>
        <v>-4.2040334076647365E-4</v>
      </c>
      <c r="L240" s="31">
        <f t="shared" si="72"/>
        <v>-1.6363832692867523E-4</v>
      </c>
      <c r="M240" s="31">
        <f t="shared" si="72"/>
        <v>-4.0000000000000002E-4</v>
      </c>
      <c r="N240" s="31">
        <f t="shared" si="72"/>
        <v>-4.0000000000000002E-4</v>
      </c>
      <c r="O240" s="31">
        <f t="shared" si="72"/>
        <v>-4.0000000000000002E-4</v>
      </c>
      <c r="P240" s="31">
        <f t="shared" si="72"/>
        <v>-4.0000000000000002E-4</v>
      </c>
      <c r="Q240" s="31">
        <f t="shared" si="72"/>
        <v>-4.0000000000000002E-4</v>
      </c>
      <c r="R240" s="31">
        <f t="shared" si="72"/>
        <v>-4.0000000000000002E-4</v>
      </c>
      <c r="S240" s="31">
        <f t="shared" si="72"/>
        <v>-4.0000000000000002E-4</v>
      </c>
      <c r="T240" s="31">
        <f t="shared" si="72"/>
        <v>-4.0000000000000002E-4</v>
      </c>
    </row>
    <row r="241" spans="3:20" x14ac:dyDescent="0.3">
      <c r="D241" s="25" t="s">
        <v>185</v>
      </c>
      <c r="E241" s="6">
        <f t="shared" si="71"/>
        <v>4</v>
      </c>
      <c r="I241" s="11">
        <f>I240*I237</f>
        <v>-21361047.050000001</v>
      </c>
      <c r="J241" s="11">
        <f t="shared" ref="J241:T241" si="73">J240*J237</f>
        <v>-4448226</v>
      </c>
      <c r="K241" s="11">
        <f t="shared" si="73"/>
        <v>-2304166</v>
      </c>
      <c r="L241" s="11">
        <f t="shared" si="73"/>
        <v>-834699.96</v>
      </c>
      <c r="M241" s="11">
        <f t="shared" si="73"/>
        <v>-2244388.5200566766</v>
      </c>
      <c r="N241" s="11">
        <f t="shared" si="73"/>
        <v>-2468827.3720623446</v>
      </c>
      <c r="O241" s="11">
        <f t="shared" si="73"/>
        <v>-2715710.1092685792</v>
      </c>
      <c r="P241" s="11">
        <f t="shared" si="73"/>
        <v>-2987281.1201954372</v>
      </c>
      <c r="Q241" s="11">
        <f t="shared" si="73"/>
        <v>-3286009.2322149812</v>
      </c>
      <c r="R241" s="11">
        <f t="shared" si="73"/>
        <v>-3614610.1554364795</v>
      </c>
      <c r="S241" s="11">
        <f t="shared" si="73"/>
        <v>-3976071.170980128</v>
      </c>
      <c r="T241" s="11">
        <f t="shared" si="73"/>
        <v>-4373678.2880781414</v>
      </c>
    </row>
    <row r="242" spans="3:20" x14ac:dyDescent="0.3">
      <c r="E242" s="6">
        <f t="shared" si="71"/>
        <v>4</v>
      </c>
    </row>
    <row r="243" spans="3:20" x14ac:dyDescent="0.3">
      <c r="C243" s="6" t="s">
        <v>172</v>
      </c>
      <c r="E243" s="6">
        <f t="shared" si="71"/>
        <v>4</v>
      </c>
    </row>
    <row r="244" spans="3:20" x14ac:dyDescent="0.3">
      <c r="D244" s="6" t="s">
        <v>186</v>
      </c>
      <c r="E244" s="6">
        <f t="shared" si="71"/>
        <v>5</v>
      </c>
      <c r="I244" s="31">
        <f>I147</f>
        <v>0.2529261210902265</v>
      </c>
      <c r="J244" s="31">
        <f t="shared" ref="J244:T244" si="74">J147</f>
        <v>0.22674418194674159</v>
      </c>
      <c r="K244" s="31">
        <f t="shared" si="74"/>
        <v>0.28300499490989145</v>
      </c>
      <c r="L244" s="31">
        <f t="shared" si="74"/>
        <v>0.26909493377809252</v>
      </c>
      <c r="M244" s="31">
        <f t="shared" si="74"/>
        <v>0.28000000000000003</v>
      </c>
      <c r="N244" s="31">
        <f t="shared" si="74"/>
        <v>0.28000000000000003</v>
      </c>
      <c r="O244" s="31">
        <f t="shared" si="74"/>
        <v>0.28000000000000003</v>
      </c>
      <c r="P244" s="31">
        <f t="shared" si="74"/>
        <v>0.28000000000000003</v>
      </c>
      <c r="Q244" s="31">
        <f t="shared" si="74"/>
        <v>0.28000000000000003</v>
      </c>
      <c r="R244" s="31">
        <f t="shared" si="74"/>
        <v>0.28000000000000003</v>
      </c>
      <c r="S244" s="31">
        <f t="shared" si="74"/>
        <v>0.28000000000000003</v>
      </c>
      <c r="T244" s="31">
        <f t="shared" si="74"/>
        <v>0.28000000000000003</v>
      </c>
    </row>
    <row r="245" spans="3:20" x14ac:dyDescent="0.3">
      <c r="D245" s="6" t="s">
        <v>133</v>
      </c>
      <c r="E245" s="6">
        <f t="shared" si="71"/>
        <v>6</v>
      </c>
      <c r="I245" s="11">
        <f>I244*I237</f>
        <v>957146929.88996994</v>
      </c>
      <c r="J245" s="11">
        <f t="shared" ref="J245:T245" si="75">J244*J237</f>
        <v>880777972.17455494</v>
      </c>
      <c r="K245" s="11">
        <f t="shared" si="75"/>
        <v>1551106815.45171</v>
      </c>
      <c r="L245" s="11">
        <f t="shared" si="75"/>
        <v>1372621773.1294601</v>
      </c>
      <c r="M245" s="11">
        <f t="shared" si="75"/>
        <v>1571071964.0396738</v>
      </c>
      <c r="N245" s="11">
        <f t="shared" si="75"/>
        <v>1728179160.4436412</v>
      </c>
      <c r="O245" s="11">
        <f t="shared" si="75"/>
        <v>1900997076.4880056</v>
      </c>
      <c r="P245" s="11">
        <f t="shared" si="75"/>
        <v>2091096784.1368062</v>
      </c>
      <c r="Q245" s="11">
        <f t="shared" si="75"/>
        <v>2300206462.550487</v>
      </c>
      <c r="R245" s="11">
        <f t="shared" si="75"/>
        <v>2530227108.8055358</v>
      </c>
      <c r="S245" s="11">
        <f t="shared" si="75"/>
        <v>2783249819.6860895</v>
      </c>
      <c r="T245" s="11">
        <f t="shared" si="75"/>
        <v>3061574801.6546988</v>
      </c>
    </row>
    <row r="246" spans="3:20" x14ac:dyDescent="0.3">
      <c r="E246" s="6">
        <f t="shared" si="71"/>
        <v>6</v>
      </c>
    </row>
    <row r="247" spans="3:20" x14ac:dyDescent="0.3">
      <c r="D247" s="25" t="s">
        <v>187</v>
      </c>
      <c r="E247" s="6">
        <f t="shared" si="71"/>
        <v>7</v>
      </c>
      <c r="I247" s="6">
        <f>I151</f>
        <v>0</v>
      </c>
      <c r="J247" s="6">
        <f t="shared" ref="J247:T247" si="76">J151</f>
        <v>0.3775387365994658</v>
      </c>
      <c r="K247" s="6">
        <f t="shared" si="76"/>
        <v>5.5071278472516028E-2</v>
      </c>
      <c r="L247" s="6">
        <f t="shared" si="76"/>
        <v>6.1762726914900146E-3</v>
      </c>
      <c r="M247" s="6">
        <f t="shared" si="76"/>
        <v>0.1</v>
      </c>
      <c r="N247" s="6">
        <f t="shared" si="76"/>
        <v>0.1</v>
      </c>
      <c r="O247" s="6">
        <f t="shared" si="76"/>
        <v>0.1</v>
      </c>
      <c r="P247" s="6">
        <f t="shared" si="76"/>
        <v>0.1</v>
      </c>
      <c r="Q247" s="6">
        <f t="shared" si="76"/>
        <v>0.1</v>
      </c>
      <c r="R247" s="6">
        <f t="shared" si="76"/>
        <v>0.1</v>
      </c>
      <c r="S247" s="6">
        <f t="shared" si="76"/>
        <v>0.1</v>
      </c>
      <c r="T247" s="6">
        <f t="shared" si="76"/>
        <v>0.1</v>
      </c>
    </row>
    <row r="248" spans="3:20" x14ac:dyDescent="0.3">
      <c r="D248" s="25" t="s">
        <v>188</v>
      </c>
      <c r="E248" s="6">
        <f t="shared" si="71"/>
        <v>8</v>
      </c>
      <c r="I248" s="11">
        <f t="shared" ref="I248:T248" si="77">IF(I3,I150,H248*(1+I247))</f>
        <v>862981910.15999997</v>
      </c>
      <c r="J248" s="11">
        <f t="shared" si="77"/>
        <v>1188791010.23</v>
      </c>
      <c r="K248" s="11">
        <f t="shared" si="77"/>
        <v>1254259251</v>
      </c>
      <c r="L248" s="11">
        <f t="shared" si="77"/>
        <v>1262005898.1600001</v>
      </c>
      <c r="M248" s="11">
        <f t="shared" si="77"/>
        <v>1388206487.9760003</v>
      </c>
      <c r="N248" s="11">
        <f t="shared" si="77"/>
        <v>1527027136.7736006</v>
      </c>
      <c r="O248" s="11">
        <f t="shared" si="77"/>
        <v>1679729850.4509609</v>
      </c>
      <c r="P248" s="11">
        <f t="shared" si="77"/>
        <v>1847702835.496057</v>
      </c>
      <c r="Q248" s="11">
        <f t="shared" si="77"/>
        <v>2032473119.0456629</v>
      </c>
      <c r="R248" s="11">
        <f t="shared" si="77"/>
        <v>2235720430.9502292</v>
      </c>
      <c r="S248" s="11">
        <f t="shared" si="77"/>
        <v>2459292474.0452523</v>
      </c>
      <c r="T248" s="11">
        <f t="shared" si="77"/>
        <v>2705221721.4497776</v>
      </c>
    </row>
    <row r="249" spans="3:20" x14ac:dyDescent="0.3">
      <c r="E249" s="6">
        <f t="shared" si="71"/>
        <v>8</v>
      </c>
    </row>
    <row r="250" spans="3:20" x14ac:dyDescent="0.3">
      <c r="D250" s="6" t="s">
        <v>189</v>
      </c>
      <c r="E250" s="6">
        <f t="shared" si="71"/>
        <v>9</v>
      </c>
      <c r="I250" s="31">
        <f>I155</f>
        <v>8.3517057138123879E-2</v>
      </c>
      <c r="J250" s="31">
        <f t="shared" ref="J250:T250" si="78">J155</f>
        <v>9.3138366766903943E-2</v>
      </c>
      <c r="K250" s="31">
        <f t="shared" si="78"/>
        <v>0.12196438496908482</v>
      </c>
      <c r="L250" s="31">
        <f t="shared" si="78"/>
        <v>0.12244102296612992</v>
      </c>
      <c r="M250" s="31">
        <f t="shared" si="78"/>
        <v>0.10526520796006064</v>
      </c>
      <c r="N250" s="31">
        <f t="shared" si="78"/>
        <v>0.10526520796006064</v>
      </c>
      <c r="O250" s="31">
        <f t="shared" si="78"/>
        <v>0.10526520796006064</v>
      </c>
      <c r="P250" s="31">
        <f t="shared" si="78"/>
        <v>0.10526520796006064</v>
      </c>
      <c r="Q250" s="31">
        <f t="shared" si="78"/>
        <v>0.10526520796006064</v>
      </c>
      <c r="R250" s="31">
        <f t="shared" si="78"/>
        <v>0.10526520796006064</v>
      </c>
      <c r="S250" s="31">
        <f t="shared" si="78"/>
        <v>0.10526520796006064</v>
      </c>
      <c r="T250" s="31">
        <f t="shared" si="78"/>
        <v>0.10526520796006064</v>
      </c>
    </row>
    <row r="251" spans="3:20" x14ac:dyDescent="0.3">
      <c r="D251" s="6" t="s">
        <v>190</v>
      </c>
      <c r="E251" s="6">
        <f t="shared" si="71"/>
        <v>10</v>
      </c>
      <c r="I251" s="11">
        <f>I250*I248</f>
        <v>72073709.5</v>
      </c>
      <c r="J251" s="11">
        <f t="shared" ref="J251:T251" si="79">J250*J248</f>
        <v>110722053.12</v>
      </c>
      <c r="K251" s="11">
        <f t="shared" si="79"/>
        <v>152974958.13999999</v>
      </c>
      <c r="L251" s="11">
        <f t="shared" si="79"/>
        <v>154521293.16</v>
      </c>
      <c r="M251" s="11">
        <f t="shared" si="79"/>
        <v>146129844.6482991</v>
      </c>
      <c r="N251" s="11">
        <f t="shared" si="79"/>
        <v>160742829.11312902</v>
      </c>
      <c r="O251" s="11">
        <f t="shared" si="79"/>
        <v>176817112.02444196</v>
      </c>
      <c r="P251" s="11">
        <f t="shared" si="79"/>
        <v>194498823.22688615</v>
      </c>
      <c r="Q251" s="11">
        <f t="shared" si="79"/>
        <v>213948705.54957479</v>
      </c>
      <c r="R251" s="11">
        <f t="shared" si="79"/>
        <v>235343576.10453227</v>
      </c>
      <c r="S251" s="11">
        <f t="shared" si="79"/>
        <v>258877933.71498552</v>
      </c>
      <c r="T251" s="11">
        <f t="shared" si="79"/>
        <v>284765727.08648407</v>
      </c>
    </row>
    <row r="252" spans="3:20" x14ac:dyDescent="0.3">
      <c r="E252" s="6">
        <f t="shared" si="71"/>
        <v>10</v>
      </c>
    </row>
    <row r="253" spans="3:20" x14ac:dyDescent="0.3">
      <c r="D253" s="6" t="s">
        <v>191</v>
      </c>
      <c r="E253" s="6">
        <f t="shared" si="71"/>
        <v>11</v>
      </c>
      <c r="I253" s="31">
        <f>I159</f>
        <v>6.7171690267931933E-2</v>
      </c>
      <c r="J253" s="31">
        <f t="shared" ref="J253:T253" si="80">J159</f>
        <v>6.2093593567199283E-2</v>
      </c>
      <c r="K253" s="31">
        <f t="shared" si="80"/>
        <v>6.9031922821020705E-2</v>
      </c>
      <c r="L253" s="31">
        <f t="shared" si="80"/>
        <v>5.4808934734291409E-2</v>
      </c>
      <c r="M253" s="31">
        <f t="shared" si="80"/>
        <v>6.3276535347610824E-2</v>
      </c>
      <c r="N253" s="31">
        <f t="shared" si="80"/>
        <v>6.3276535347610824E-2</v>
      </c>
      <c r="O253" s="31">
        <f t="shared" si="80"/>
        <v>6.3276535347610824E-2</v>
      </c>
      <c r="P253" s="31">
        <f t="shared" si="80"/>
        <v>6.3276535347610824E-2</v>
      </c>
      <c r="Q253" s="31">
        <f t="shared" si="80"/>
        <v>6.3276535347610824E-2</v>
      </c>
      <c r="R253" s="31">
        <f t="shared" si="80"/>
        <v>6.3276535347610824E-2</v>
      </c>
      <c r="S253" s="31">
        <f t="shared" si="80"/>
        <v>6.3276535347610824E-2</v>
      </c>
      <c r="T253" s="31">
        <f t="shared" si="80"/>
        <v>6.3276535347610824E-2</v>
      </c>
    </row>
    <row r="254" spans="3:20" x14ac:dyDescent="0.3">
      <c r="D254" s="25" t="s">
        <v>192</v>
      </c>
      <c r="E254" s="6">
        <f t="shared" si="71"/>
        <v>12</v>
      </c>
      <c r="I254" s="11">
        <f t="shared" ref="I254:T254" si="81">IF(I3,I158,I253*I312)</f>
        <v>56614895.447899997</v>
      </c>
      <c r="J254" s="11">
        <f t="shared" si="81"/>
        <v>64368583.720739998</v>
      </c>
      <c r="K254" s="11">
        <f t="shared" si="81"/>
        <v>71339300.051720902</v>
      </c>
      <c r="L254" s="11">
        <f t="shared" si="81"/>
        <v>58775938.748011701</v>
      </c>
      <c r="M254" s="11">
        <f t="shared" si="81"/>
        <v>70081572.594404608</v>
      </c>
      <c r="N254" s="11">
        <f t="shared" si="81"/>
        <v>73100102.793901503</v>
      </c>
      <c r="O254" s="11">
        <f t="shared" si="81"/>
        <v>76919885.220764637</v>
      </c>
      <c r="P254" s="11">
        <f t="shared" si="81"/>
        <v>81558533.097330317</v>
      </c>
      <c r="Q254" s="11">
        <f t="shared" si="81"/>
        <v>87043245.870843589</v>
      </c>
      <c r="R254" s="11">
        <f t="shared" si="81"/>
        <v>93410788.358385026</v>
      </c>
      <c r="S254" s="11">
        <f t="shared" si="81"/>
        <v>100707590.41181505</v>
      </c>
      <c r="T254" s="11">
        <f t="shared" si="81"/>
        <v>108989963.80766323</v>
      </c>
    </row>
    <row r="255" spans="3:20" x14ac:dyDescent="0.3">
      <c r="E255" s="6">
        <f t="shared" si="71"/>
        <v>12</v>
      </c>
    </row>
    <row r="256" spans="3:20" x14ac:dyDescent="0.3">
      <c r="D256" s="25" t="s">
        <v>193</v>
      </c>
      <c r="E256" s="6">
        <f t="shared" si="71"/>
        <v>13</v>
      </c>
      <c r="I256" s="31">
        <f>I163</f>
        <v>1.9195674247476164E-2</v>
      </c>
      <c r="J256" s="31">
        <f t="shared" ref="J256:T256" si="82">J163</f>
        <v>2.0423197800248372E-2</v>
      </c>
      <c r="K256" s="31">
        <f t="shared" si="82"/>
        <v>2.0435929629281334E-2</v>
      </c>
      <c r="L256" s="31">
        <f t="shared" si="82"/>
        <v>2.5422372245496584E-2</v>
      </c>
      <c r="M256" s="31">
        <f t="shared" si="82"/>
        <v>2.5422372245496584E-2</v>
      </c>
      <c r="N256" s="31">
        <f t="shared" si="82"/>
        <v>2.5422372245496584E-2</v>
      </c>
      <c r="O256" s="31">
        <f t="shared" si="82"/>
        <v>2.5422372245496584E-2</v>
      </c>
      <c r="P256" s="31">
        <f t="shared" si="82"/>
        <v>2.5422372245496584E-2</v>
      </c>
      <c r="Q256" s="31">
        <f t="shared" si="82"/>
        <v>2.5422372245496584E-2</v>
      </c>
      <c r="R256" s="31">
        <f t="shared" si="82"/>
        <v>2.5422372245496584E-2</v>
      </c>
      <c r="S256" s="31">
        <f t="shared" si="82"/>
        <v>2.5422372245496584E-2</v>
      </c>
      <c r="T256" s="31">
        <f t="shared" si="82"/>
        <v>2.5422372245496584E-2</v>
      </c>
    </row>
    <row r="257" spans="4:20" x14ac:dyDescent="0.3">
      <c r="D257" s="25" t="s">
        <v>194</v>
      </c>
      <c r="E257" s="6">
        <f t="shared" si="71"/>
        <v>14</v>
      </c>
      <c r="I257" s="11">
        <f>I256*I237</f>
        <v>72642084.549999997</v>
      </c>
      <c r="J257" s="11">
        <f t="shared" ref="J257:T257" si="83">J256*J237</f>
        <v>79333028.920000002</v>
      </c>
      <c r="K257" s="11">
        <f t="shared" si="83"/>
        <v>112006184.69</v>
      </c>
      <c r="L257" s="11">
        <f t="shared" si="83"/>
        <v>129676546.41</v>
      </c>
      <c r="M257" s="11">
        <f t="shared" si="83"/>
        <v>142644201.051</v>
      </c>
      <c r="N257" s="11">
        <f t="shared" si="83"/>
        <v>156908621.15610003</v>
      </c>
      <c r="O257" s="11">
        <f t="shared" si="83"/>
        <v>172599483.27171004</v>
      </c>
      <c r="P257" s="11">
        <f t="shared" si="83"/>
        <v>189859431.59888107</v>
      </c>
      <c r="Q257" s="11">
        <f t="shared" si="83"/>
        <v>208845374.75876918</v>
      </c>
      <c r="R257" s="11">
        <f t="shared" si="83"/>
        <v>229729912.23464611</v>
      </c>
      <c r="S257" s="11">
        <f t="shared" si="83"/>
        <v>252702903.45811075</v>
      </c>
      <c r="T257" s="11">
        <f t="shared" si="83"/>
        <v>277973193.80392188</v>
      </c>
    </row>
    <row r="258" spans="4:20" x14ac:dyDescent="0.3">
      <c r="E258" s="6">
        <f t="shared" si="71"/>
        <v>14</v>
      </c>
    </row>
    <row r="259" spans="4:20" x14ac:dyDescent="0.3">
      <c r="D259" s="25" t="s">
        <v>195</v>
      </c>
      <c r="E259" s="6">
        <f t="shared" si="71"/>
        <v>15</v>
      </c>
      <c r="I259" s="31">
        <f>I167</f>
        <v>3.3633089707081704E-2</v>
      </c>
      <c r="J259" s="31">
        <f t="shared" ref="J259:T259" si="84">J167</f>
        <v>1.3038114897084587E-2</v>
      </c>
      <c r="K259" s="31">
        <f t="shared" si="84"/>
        <v>2.5952348052484087E-2</v>
      </c>
      <c r="L259" s="31">
        <f t="shared" si="84"/>
        <v>1.7234431773822414E-2</v>
      </c>
      <c r="M259" s="31">
        <f t="shared" si="84"/>
        <v>1.7234431773822414E-2</v>
      </c>
      <c r="N259" s="31">
        <f t="shared" si="84"/>
        <v>1.7234431773822414E-2</v>
      </c>
      <c r="O259" s="31">
        <f t="shared" si="84"/>
        <v>1.7234431773822414E-2</v>
      </c>
      <c r="P259" s="31">
        <f t="shared" si="84"/>
        <v>1.7234431773822414E-2</v>
      </c>
      <c r="Q259" s="31">
        <f t="shared" si="84"/>
        <v>1.7234431773822414E-2</v>
      </c>
      <c r="R259" s="31">
        <f t="shared" si="84"/>
        <v>1.7234431773822414E-2</v>
      </c>
      <c r="S259" s="31">
        <f t="shared" si="84"/>
        <v>1.7234431773822414E-2</v>
      </c>
      <c r="T259" s="31">
        <f t="shared" si="84"/>
        <v>1.7234431773822414E-2</v>
      </c>
    </row>
    <row r="260" spans="4:20" x14ac:dyDescent="0.3">
      <c r="D260" s="25" t="s">
        <v>141</v>
      </c>
      <c r="E260" s="6">
        <f t="shared" si="71"/>
        <v>16</v>
      </c>
      <c r="I260" s="11">
        <f>I259*I248</f>
        <v>29024748.000000004</v>
      </c>
      <c r="J260" s="11">
        <f t="shared" ref="J260:T260" si="85">J259*J248</f>
        <v>15499593.779999999</v>
      </c>
      <c r="K260" s="11">
        <f t="shared" si="85"/>
        <v>32550972.629999999</v>
      </c>
      <c r="L260" s="11">
        <f t="shared" si="85"/>
        <v>21749954.549999997</v>
      </c>
      <c r="M260" s="11">
        <f t="shared" si="85"/>
        <v>23924950.005000003</v>
      </c>
      <c r="N260" s="11">
        <f t="shared" si="85"/>
        <v>26317445.005500007</v>
      </c>
      <c r="O260" s="11">
        <f t="shared" si="85"/>
        <v>28949189.506050013</v>
      </c>
      <c r="P260" s="11">
        <f t="shared" si="85"/>
        <v>31844108.456655014</v>
      </c>
      <c r="Q260" s="11">
        <f t="shared" si="85"/>
        <v>35028519.302320518</v>
      </c>
      <c r="R260" s="11">
        <f t="shared" si="85"/>
        <v>38531371.232552573</v>
      </c>
      <c r="S260" s="11">
        <f t="shared" si="85"/>
        <v>42384508.355807833</v>
      </c>
      <c r="T260" s="11">
        <f t="shared" si="85"/>
        <v>46622959.191388614</v>
      </c>
    </row>
    <row r="261" spans="4:20" x14ac:dyDescent="0.3">
      <c r="E261" s="6">
        <f t="shared" si="71"/>
        <v>16</v>
      </c>
    </row>
    <row r="262" spans="4:20" x14ac:dyDescent="0.3">
      <c r="D262" s="25" t="s">
        <v>196</v>
      </c>
      <c r="E262" s="6">
        <f t="shared" si="71"/>
        <v>17</v>
      </c>
      <c r="I262" s="6">
        <f>I171</f>
        <v>0</v>
      </c>
      <c r="J262" s="6">
        <f t="shared" ref="J262:T262" si="86">J171</f>
        <v>6.1407769635746234E-2</v>
      </c>
      <c r="K262" s="6">
        <f t="shared" si="86"/>
        <v>5.8644012921649891E-2</v>
      </c>
      <c r="L262" s="6">
        <f t="shared" si="86"/>
        <v>1.4839855031201648</v>
      </c>
      <c r="M262" s="6">
        <f t="shared" si="86"/>
        <v>0.1</v>
      </c>
      <c r="N262" s="6">
        <f t="shared" si="86"/>
        <v>0.1</v>
      </c>
      <c r="O262" s="6">
        <f t="shared" si="86"/>
        <v>0.1</v>
      </c>
      <c r="P262" s="6">
        <f t="shared" si="86"/>
        <v>0.1</v>
      </c>
      <c r="Q262" s="6">
        <f t="shared" si="86"/>
        <v>0.1</v>
      </c>
      <c r="R262" s="6">
        <f t="shared" si="86"/>
        <v>0.1</v>
      </c>
      <c r="S262" s="6">
        <f t="shared" si="86"/>
        <v>0.1</v>
      </c>
      <c r="T262" s="6">
        <f t="shared" si="86"/>
        <v>0.1</v>
      </c>
    </row>
    <row r="263" spans="4:20" x14ac:dyDescent="0.3">
      <c r="D263" s="25" t="s">
        <v>197</v>
      </c>
      <c r="E263" s="6">
        <f t="shared" si="71"/>
        <v>18</v>
      </c>
      <c r="I263" s="11">
        <f t="shared" ref="I263:T263" si="87">IF(I3,I170,H263*(1+I262))</f>
        <v>191626512.56999999</v>
      </c>
      <c r="J263" s="11">
        <f t="shared" si="87"/>
        <v>203393869.31</v>
      </c>
      <c r="K263" s="11">
        <f t="shared" si="87"/>
        <v>215321702.00999999</v>
      </c>
      <c r="L263" s="11">
        <f t="shared" si="87"/>
        <v>534855986.30000001</v>
      </c>
      <c r="M263" s="11">
        <f t="shared" si="87"/>
        <v>588341584.93000007</v>
      </c>
      <c r="N263" s="11">
        <f t="shared" si="87"/>
        <v>647175743.4230001</v>
      </c>
      <c r="O263" s="11">
        <f t="shared" si="87"/>
        <v>711893317.76530015</v>
      </c>
      <c r="P263" s="11">
        <f t="shared" si="87"/>
        <v>783082649.54183018</v>
      </c>
      <c r="Q263" s="11">
        <f t="shared" si="87"/>
        <v>861390914.49601328</v>
      </c>
      <c r="R263" s="11">
        <f t="shared" si="87"/>
        <v>947530005.9456147</v>
      </c>
      <c r="S263" s="11">
        <f t="shared" si="87"/>
        <v>1042283006.5401763</v>
      </c>
      <c r="T263" s="11">
        <f t="shared" si="87"/>
        <v>1146511307.1941941</v>
      </c>
    </row>
    <row r="264" spans="4:20" x14ac:dyDescent="0.3">
      <c r="E264" s="6">
        <f t="shared" si="71"/>
        <v>18</v>
      </c>
    </row>
    <row r="265" spans="4:20" x14ac:dyDescent="0.3">
      <c r="D265" s="25" t="s">
        <v>198</v>
      </c>
      <c r="E265" s="6">
        <f t="shared" si="71"/>
        <v>19</v>
      </c>
      <c r="I265" s="31">
        <f>I175</f>
        <v>7.0404412483704793E-3</v>
      </c>
      <c r="J265" s="31">
        <f t="shared" ref="J265:T265" si="88">J175</f>
        <v>2.8981980421700147E-3</v>
      </c>
      <c r="K265" s="31">
        <f t="shared" si="88"/>
        <v>2.031765688796117E-3</v>
      </c>
      <c r="L265" s="31">
        <f t="shared" si="88"/>
        <v>1.8332564283015038E-3</v>
      </c>
      <c r="M265" s="31">
        <f t="shared" si="88"/>
        <v>1.8332564283015038E-3</v>
      </c>
      <c r="N265" s="31">
        <f t="shared" si="88"/>
        <v>1.8332564283015038E-3</v>
      </c>
      <c r="O265" s="31">
        <f t="shared" si="88"/>
        <v>1.8332564283015038E-3</v>
      </c>
      <c r="P265" s="31">
        <f t="shared" si="88"/>
        <v>1.8332564283015038E-3</v>
      </c>
      <c r="Q265" s="31">
        <f t="shared" si="88"/>
        <v>1.8332564283015038E-3</v>
      </c>
      <c r="R265" s="31">
        <f t="shared" si="88"/>
        <v>1.8332564283015038E-3</v>
      </c>
      <c r="S265" s="31">
        <f t="shared" si="88"/>
        <v>1.8332564283015038E-3</v>
      </c>
      <c r="T265" s="31">
        <f t="shared" si="88"/>
        <v>1.8332564283015038E-3</v>
      </c>
    </row>
    <row r="266" spans="4:20" x14ac:dyDescent="0.3">
      <c r="D266" s="25" t="s">
        <v>144</v>
      </c>
      <c r="E266" s="6">
        <f t="shared" si="71"/>
        <v>20</v>
      </c>
      <c r="I266" s="11">
        <f t="shared" ref="I266:T266" si="89">I265*I237</f>
        <v>26643103.120000001</v>
      </c>
      <c r="J266" s="11">
        <f t="shared" si="89"/>
        <v>11257925</v>
      </c>
      <c r="K266" s="11">
        <f t="shared" si="89"/>
        <v>11135795.000000002</v>
      </c>
      <c r="L266" s="11">
        <f t="shared" si="89"/>
        <v>9351226.5500000007</v>
      </c>
      <c r="M266" s="11">
        <f t="shared" si="89"/>
        <v>10286349.205000002</v>
      </c>
      <c r="N266" s="11">
        <f t="shared" si="89"/>
        <v>11314984.125500003</v>
      </c>
      <c r="O266" s="11">
        <f t="shared" si="89"/>
        <v>12446482.538050005</v>
      </c>
      <c r="P266" s="11">
        <f t="shared" si="89"/>
        <v>13691130.791855006</v>
      </c>
      <c r="Q266" s="11">
        <f t="shared" si="89"/>
        <v>15060243.871040506</v>
      </c>
      <c r="R266" s="11">
        <f t="shared" si="89"/>
        <v>16566268.258144557</v>
      </c>
      <c r="S266" s="11">
        <f t="shared" si="89"/>
        <v>18222895.083959017</v>
      </c>
      <c r="T266" s="11">
        <f t="shared" si="89"/>
        <v>20045184.59235492</v>
      </c>
    </row>
    <row r="267" spans="4:20" x14ac:dyDescent="0.3">
      <c r="E267" s="6">
        <f t="shared" si="71"/>
        <v>20</v>
      </c>
    </row>
    <row r="268" spans="4:20" x14ac:dyDescent="0.3">
      <c r="D268" s="25" t="s">
        <v>200</v>
      </c>
      <c r="E268" s="6">
        <f t="shared" si="71"/>
        <v>21</v>
      </c>
      <c r="I268" s="29">
        <f>I179</f>
        <v>0</v>
      </c>
      <c r="J268" s="29">
        <f t="shared" ref="J268:T268" si="90">J179</f>
        <v>-0.7</v>
      </c>
      <c r="K268" s="29">
        <f t="shared" si="90"/>
        <v>113</v>
      </c>
      <c r="L268" s="29">
        <f t="shared" si="90"/>
        <v>-0.90923087719298246</v>
      </c>
      <c r="M268" s="29">
        <f t="shared" si="90"/>
        <v>0.1</v>
      </c>
      <c r="N268" s="29">
        <f t="shared" si="90"/>
        <v>0.1</v>
      </c>
      <c r="O268" s="29">
        <f t="shared" si="90"/>
        <v>0.1</v>
      </c>
      <c r="P268" s="29">
        <f t="shared" si="90"/>
        <v>0.1</v>
      </c>
      <c r="Q268" s="29">
        <f t="shared" si="90"/>
        <v>0.1</v>
      </c>
      <c r="R268" s="29">
        <f t="shared" si="90"/>
        <v>0.1</v>
      </c>
      <c r="S268" s="29">
        <f t="shared" si="90"/>
        <v>0.1</v>
      </c>
      <c r="T268" s="29">
        <f t="shared" si="90"/>
        <v>0.1</v>
      </c>
    </row>
    <row r="269" spans="4:20" x14ac:dyDescent="0.3">
      <c r="D269" s="25" t="s">
        <v>201</v>
      </c>
      <c r="E269" s="6">
        <f t="shared" si="71"/>
        <v>22</v>
      </c>
      <c r="I269" s="11">
        <f t="shared" ref="I269:T269" si="91">IF(I3,I178,H269*(1+I268))</f>
        <v>500000</v>
      </c>
      <c r="J269" s="11">
        <f t="shared" si="91"/>
        <v>150000</v>
      </c>
      <c r="K269" s="11">
        <f t="shared" si="91"/>
        <v>17100000</v>
      </c>
      <c r="L269" s="11">
        <f t="shared" si="91"/>
        <v>1552152</v>
      </c>
      <c r="M269" s="11">
        <f t="shared" si="91"/>
        <v>1707367.2000000002</v>
      </c>
      <c r="N269" s="11">
        <f t="shared" si="91"/>
        <v>1878103.9200000004</v>
      </c>
      <c r="O269" s="11">
        <f t="shared" si="91"/>
        <v>2065914.3120000006</v>
      </c>
      <c r="P269" s="11">
        <f t="shared" si="91"/>
        <v>2272505.7432000008</v>
      </c>
      <c r="Q269" s="11">
        <f t="shared" si="91"/>
        <v>2499756.317520001</v>
      </c>
      <c r="R269" s="11">
        <f t="shared" si="91"/>
        <v>2749731.9492720012</v>
      </c>
      <c r="S269" s="11">
        <f t="shared" si="91"/>
        <v>3024705.1441992014</v>
      </c>
      <c r="T269" s="11">
        <f t="shared" si="91"/>
        <v>3327175.6586191216</v>
      </c>
    </row>
    <row r="270" spans="4:20" x14ac:dyDescent="0.3">
      <c r="E270" s="6">
        <f t="shared" si="71"/>
        <v>22</v>
      </c>
    </row>
    <row r="271" spans="4:20" x14ac:dyDescent="0.3">
      <c r="D271" s="25" t="s">
        <v>202</v>
      </c>
      <c r="E271" s="6">
        <f t="shared" si="71"/>
        <v>23</v>
      </c>
      <c r="I271" s="31">
        <f>I183</f>
        <v>7.0242421127218995E-3</v>
      </c>
      <c r="J271" s="31">
        <f t="shared" ref="J271:T271" si="92">J183</f>
        <v>9.3899454765958654E-3</v>
      </c>
      <c r="K271" s="31">
        <f t="shared" si="92"/>
        <v>5.2730326990558466E-3</v>
      </c>
      <c r="L271" s="31">
        <f t="shared" si="92"/>
        <v>8.2102994146194749E-3</v>
      </c>
      <c r="M271" s="31">
        <f t="shared" si="92"/>
        <v>7.4743799257482712E-3</v>
      </c>
      <c r="N271" s="31">
        <f t="shared" si="92"/>
        <v>7.4743799257482712E-3</v>
      </c>
      <c r="O271" s="31">
        <f t="shared" si="92"/>
        <v>7.4743799257482712E-3</v>
      </c>
      <c r="P271" s="31">
        <f t="shared" si="92"/>
        <v>7.4743799257482712E-3</v>
      </c>
      <c r="Q271" s="31">
        <f t="shared" si="92"/>
        <v>7.4743799257482712E-3</v>
      </c>
      <c r="R271" s="31">
        <f t="shared" si="92"/>
        <v>7.4743799257482712E-3</v>
      </c>
      <c r="S271" s="31">
        <f t="shared" si="92"/>
        <v>7.4743799257482712E-3</v>
      </c>
      <c r="T271" s="31">
        <f t="shared" si="92"/>
        <v>7.4743799257482712E-3</v>
      </c>
    </row>
    <row r="272" spans="4:20" x14ac:dyDescent="0.3">
      <c r="D272" s="25" t="s">
        <v>150</v>
      </c>
      <c r="E272" s="6">
        <f t="shared" si="71"/>
        <v>24</v>
      </c>
      <c r="I272" s="11">
        <f t="shared" ref="I272:T272" si="93">I271*I237</f>
        <v>26581800.82</v>
      </c>
      <c r="J272" s="11">
        <f t="shared" si="93"/>
        <v>36474837.258000001</v>
      </c>
      <c r="K272" s="11">
        <f t="shared" si="93"/>
        <v>28900680.57</v>
      </c>
      <c r="L272" s="11">
        <f t="shared" si="93"/>
        <v>41879776.710000001</v>
      </c>
      <c r="M272" s="11">
        <f t="shared" si="93"/>
        <v>41938531.249728732</v>
      </c>
      <c r="N272" s="11">
        <f t="shared" si="93"/>
        <v>46132384.374701612</v>
      </c>
      <c r="O272" s="11">
        <f t="shared" si="93"/>
        <v>50745622.81217178</v>
      </c>
      <c r="P272" s="11">
        <f t="shared" si="93"/>
        <v>55820185.09338896</v>
      </c>
      <c r="Q272" s="11">
        <f t="shared" si="93"/>
        <v>61402203.60272786</v>
      </c>
      <c r="R272" s="11">
        <f t="shared" si="93"/>
        <v>67542423.96300064</v>
      </c>
      <c r="S272" s="11">
        <f t="shared" si="93"/>
        <v>74296666.359300718</v>
      </c>
      <c r="T272" s="11">
        <f t="shared" si="93"/>
        <v>81726332.995230809</v>
      </c>
    </row>
    <row r="273" spans="4:20" x14ac:dyDescent="0.3">
      <c r="E273" s="6">
        <f t="shared" si="71"/>
        <v>24</v>
      </c>
    </row>
    <row r="274" spans="4:20" x14ac:dyDescent="0.3">
      <c r="D274" s="25" t="s">
        <v>203</v>
      </c>
      <c r="E274" s="6">
        <f t="shared" si="71"/>
        <v>25</v>
      </c>
      <c r="I274" s="31">
        <f>I187</f>
        <v>1.2634906450601786E-2</v>
      </c>
      <c r="J274" s="31">
        <f t="shared" ref="J274:T274" si="94">J187</f>
        <v>1.3211481123498327E-2</v>
      </c>
      <c r="K274" s="31">
        <f t="shared" si="94"/>
        <v>1.1342737313729333E-2</v>
      </c>
      <c r="L274" s="31">
        <f t="shared" si="94"/>
        <v>1.2955457534702758E-2</v>
      </c>
      <c r="M274" s="31">
        <f t="shared" si="94"/>
        <v>1.2955457534702758E-2</v>
      </c>
      <c r="N274" s="31">
        <f t="shared" si="94"/>
        <v>1.2955457534702758E-2</v>
      </c>
      <c r="O274" s="31">
        <f t="shared" si="94"/>
        <v>1.2955457534702758E-2</v>
      </c>
      <c r="P274" s="31">
        <f t="shared" si="94"/>
        <v>1.2955457534702758E-2</v>
      </c>
      <c r="Q274" s="31">
        <f t="shared" si="94"/>
        <v>1.2955457534702758E-2</v>
      </c>
      <c r="R274" s="31">
        <f t="shared" si="94"/>
        <v>1.2955457534702758E-2</v>
      </c>
      <c r="S274" s="31">
        <f t="shared" si="94"/>
        <v>1.2955457534702758E-2</v>
      </c>
      <c r="T274" s="31">
        <f t="shared" si="94"/>
        <v>1.2955457534702758E-2</v>
      </c>
    </row>
    <row r="275" spans="4:20" x14ac:dyDescent="0.3">
      <c r="D275" s="25" t="s">
        <v>204</v>
      </c>
      <c r="E275" s="6">
        <f t="shared" si="71"/>
        <v>26</v>
      </c>
      <c r="I275" s="11">
        <f t="shared" ref="I275:T275" si="95">I274*I237</f>
        <v>47814207.036078997</v>
      </c>
      <c r="J275" s="11">
        <f t="shared" si="95"/>
        <v>51319427.265880004</v>
      </c>
      <c r="K275" s="11">
        <f t="shared" si="95"/>
        <v>62167797.281478509</v>
      </c>
      <c r="L275" s="11">
        <f t="shared" si="95"/>
        <v>66084273.097655997</v>
      </c>
      <c r="M275" s="11">
        <f t="shared" si="95"/>
        <v>72692700.407421604</v>
      </c>
      <c r="N275" s="11">
        <f t="shared" si="95"/>
        <v>79961970.448163778</v>
      </c>
      <c r="O275" s="11">
        <f t="shared" si="95"/>
        <v>87958167.492980152</v>
      </c>
      <c r="P275" s="11">
        <f t="shared" si="95"/>
        <v>96753984.242278174</v>
      </c>
      <c r="Q275" s="11">
        <f t="shared" si="95"/>
        <v>106429382.66650601</v>
      </c>
      <c r="R275" s="11">
        <f t="shared" si="95"/>
        <v>117072320.93315661</v>
      </c>
      <c r="S275" s="11">
        <f t="shared" si="95"/>
        <v>128779553.02647229</v>
      </c>
      <c r="T275" s="11">
        <f t="shared" si="95"/>
        <v>141657508.32911953</v>
      </c>
    </row>
    <row r="276" spans="4:20" x14ac:dyDescent="0.3">
      <c r="E276" s="6">
        <f t="shared" si="71"/>
        <v>26</v>
      </c>
    </row>
    <row r="277" spans="4:20" x14ac:dyDescent="0.3">
      <c r="D277" s="25" t="s">
        <v>205</v>
      </c>
      <c r="E277" s="6">
        <f t="shared" si="71"/>
        <v>27</v>
      </c>
      <c r="I277" s="31">
        <f>I191</f>
        <v>4.3591908229592739E-2</v>
      </c>
      <c r="J277" s="31">
        <f t="shared" ref="J277:T277" si="96">J191</f>
        <v>6.4895743633189007E-2</v>
      </c>
      <c r="K277" s="31">
        <f t="shared" si="96"/>
        <v>3.1229767194268371E-2</v>
      </c>
      <c r="L277" s="31">
        <f t="shared" si="96"/>
        <v>3.4248598827643813E-2</v>
      </c>
      <c r="M277" s="31">
        <f t="shared" si="96"/>
        <v>4.3491504471173482E-2</v>
      </c>
      <c r="N277" s="31">
        <f t="shared" si="96"/>
        <v>4.3491504471173482E-2</v>
      </c>
      <c r="O277" s="31">
        <f t="shared" si="96"/>
        <v>4.3491504471173482E-2</v>
      </c>
      <c r="P277" s="31">
        <f t="shared" si="96"/>
        <v>4.3491504471173482E-2</v>
      </c>
      <c r="Q277" s="31">
        <f t="shared" si="96"/>
        <v>4.3491504471173482E-2</v>
      </c>
      <c r="R277" s="31">
        <f t="shared" si="96"/>
        <v>4.3491504471173482E-2</v>
      </c>
      <c r="S277" s="31">
        <f t="shared" si="96"/>
        <v>4.3491504471173482E-2</v>
      </c>
      <c r="T277" s="31">
        <f t="shared" si="96"/>
        <v>4.3491504471173482E-2</v>
      </c>
    </row>
    <row r="278" spans="4:20" x14ac:dyDescent="0.3">
      <c r="D278" s="25" t="s">
        <v>206</v>
      </c>
      <c r="E278" s="6">
        <f t="shared" si="71"/>
        <v>28</v>
      </c>
      <c r="I278" s="11">
        <f t="shared" ref="I278:T278" si="97">I277*I245</f>
        <v>41723861.130000003</v>
      </c>
      <c r="J278" s="11">
        <f t="shared" si="97"/>
        <v>57158741.479999997</v>
      </c>
      <c r="K278" s="11">
        <f t="shared" si="97"/>
        <v>48440704.739999898</v>
      </c>
      <c r="L278" s="11">
        <f t="shared" si="97"/>
        <v>47010372.449999996</v>
      </c>
      <c r="M278" s="11">
        <f t="shared" si="97"/>
        <v>68328283.348566771</v>
      </c>
      <c r="N278" s="11">
        <f t="shared" si="97"/>
        <v>75161111.68342346</v>
      </c>
      <c r="O278" s="11">
        <f t="shared" si="97"/>
        <v>82677222.851765811</v>
      </c>
      <c r="P278" s="11">
        <f t="shared" si="97"/>
        <v>90944945.136942402</v>
      </c>
      <c r="Q278" s="11">
        <f t="shared" si="97"/>
        <v>100039439.65063664</v>
      </c>
      <c r="R278" s="11">
        <f t="shared" si="97"/>
        <v>110043383.61570032</v>
      </c>
      <c r="S278" s="11">
        <f t="shared" si="97"/>
        <v>121047721.97727035</v>
      </c>
      <c r="T278" s="11">
        <f t="shared" si="97"/>
        <v>133152494.1749974</v>
      </c>
    </row>
    <row r="279" spans="4:20" x14ac:dyDescent="0.3">
      <c r="E279" s="6">
        <f t="shared" si="71"/>
        <v>28</v>
      </c>
    </row>
    <row r="280" spans="4:20" x14ac:dyDescent="0.3">
      <c r="D280" s="25" t="s">
        <v>207</v>
      </c>
      <c r="E280" s="6">
        <f t="shared" si="71"/>
        <v>29</v>
      </c>
      <c r="I280" s="31">
        <f>I195</f>
        <v>4.9475375321808256E-2</v>
      </c>
      <c r="J280" s="31">
        <f t="shared" ref="J280:T280" si="98">J195</f>
        <v>9.6458896403158523E-2</v>
      </c>
      <c r="K280" s="31">
        <f t="shared" si="98"/>
        <v>6.2268763421389615E-2</v>
      </c>
      <c r="L280" s="31">
        <f t="shared" si="98"/>
        <v>6.3057263778031683E-2</v>
      </c>
      <c r="M280" s="31">
        <f t="shared" si="98"/>
        <v>7.0000000000000007E-2</v>
      </c>
      <c r="N280" s="31">
        <f t="shared" si="98"/>
        <v>7.0000000000000007E-2</v>
      </c>
      <c r="O280" s="31">
        <f t="shared" si="98"/>
        <v>7.0000000000000007E-2</v>
      </c>
      <c r="P280" s="31">
        <f t="shared" si="98"/>
        <v>7.0000000000000007E-2</v>
      </c>
      <c r="Q280" s="31">
        <f t="shared" si="98"/>
        <v>7.0000000000000007E-2</v>
      </c>
      <c r="R280" s="31">
        <f t="shared" si="98"/>
        <v>7.0000000000000007E-2</v>
      </c>
      <c r="S280" s="31">
        <f t="shared" si="98"/>
        <v>7.0000000000000007E-2</v>
      </c>
      <c r="T280" s="31">
        <f t="shared" si="98"/>
        <v>7.0000000000000007E-2</v>
      </c>
    </row>
    <row r="281" spans="4:20" x14ac:dyDescent="0.3">
      <c r="D281" s="25" t="s">
        <v>208</v>
      </c>
      <c r="E281" s="6">
        <f t="shared" si="71"/>
        <v>30</v>
      </c>
      <c r="I281" s="11">
        <f t="shared" ref="I281:T281" si="99">I280*I237</f>
        <v>187229390.90000001</v>
      </c>
      <c r="J281" s="11">
        <f t="shared" si="99"/>
        <v>374690412.97000003</v>
      </c>
      <c r="K281" s="11">
        <f t="shared" si="99"/>
        <v>341285507.56999999</v>
      </c>
      <c r="L281" s="11">
        <f t="shared" si="99"/>
        <v>321647724.83999997</v>
      </c>
      <c r="M281" s="11">
        <f t="shared" si="99"/>
        <v>392767991.00991845</v>
      </c>
      <c r="N281" s="11">
        <f t="shared" si="99"/>
        <v>432044790.1109103</v>
      </c>
      <c r="O281" s="11">
        <f t="shared" si="99"/>
        <v>475249269.12200141</v>
      </c>
      <c r="P281" s="11">
        <f t="shared" si="99"/>
        <v>522774196.03420156</v>
      </c>
      <c r="Q281" s="11">
        <f t="shared" si="99"/>
        <v>575051615.63762176</v>
      </c>
      <c r="R281" s="11">
        <f t="shared" si="99"/>
        <v>632556777.20138395</v>
      </c>
      <c r="S281" s="11">
        <f t="shared" si="99"/>
        <v>695812454.92152238</v>
      </c>
      <c r="T281" s="11">
        <f t="shared" si="99"/>
        <v>765393700.41367471</v>
      </c>
    </row>
    <row r="282" spans="4:20" x14ac:dyDescent="0.3">
      <c r="E282" s="6">
        <f t="shared" si="71"/>
        <v>30</v>
      </c>
    </row>
    <row r="283" spans="4:20" ht="13.5" thickBot="1" x14ac:dyDescent="0.35">
      <c r="D283" s="46" t="s">
        <v>212</v>
      </c>
      <c r="E283" s="6">
        <f t="shared" si="71"/>
        <v>31</v>
      </c>
      <c r="F283" s="14"/>
      <c r="G283" s="14"/>
      <c r="H283" s="14"/>
      <c r="I283" s="12">
        <f>I281+I278+I275+I272+I269+I266+I263+I260+I257+I254+I251+I248+I245</f>
        <v>2572603153.1239486</v>
      </c>
      <c r="J283" s="12">
        <f t="shared" ref="J283:T283" si="100">J281+J278+J275+J272+J269+J266+J263+J260+J257+J254+J251+J248+J245</f>
        <v>3073937455.2291746</v>
      </c>
      <c r="K283" s="12">
        <f t="shared" si="100"/>
        <v>3898589669.1349096</v>
      </c>
      <c r="L283" s="12">
        <f t="shared" si="100"/>
        <v>4021732916.1051283</v>
      </c>
      <c r="M283" s="12">
        <f t="shared" si="100"/>
        <v>4518121827.6650143</v>
      </c>
      <c r="N283" s="12">
        <f t="shared" si="100"/>
        <v>4965944383.3715715</v>
      </c>
      <c r="O283" s="12">
        <f t="shared" si="100"/>
        <v>5459048593.8562031</v>
      </c>
      <c r="P283" s="12">
        <f t="shared" si="100"/>
        <v>6001900112.5963125</v>
      </c>
      <c r="Q283" s="12">
        <f t="shared" si="100"/>
        <v>6599418983.319725</v>
      </c>
      <c r="R283" s="12">
        <f t="shared" si="100"/>
        <v>7257024099.5521545</v>
      </c>
      <c r="S283" s="12">
        <f t="shared" si="100"/>
        <v>7980682232.7249613</v>
      </c>
      <c r="T283" s="12">
        <f t="shared" si="100"/>
        <v>8776962070.3521252</v>
      </c>
    </row>
    <row r="284" spans="4:20" x14ac:dyDescent="0.3">
      <c r="E284" s="6">
        <f t="shared" si="71"/>
        <v>31</v>
      </c>
    </row>
    <row r="285" spans="4:20" x14ac:dyDescent="0.3">
      <c r="D285" s="25" t="s">
        <v>213</v>
      </c>
      <c r="E285" s="6">
        <f t="shared" si="71"/>
        <v>32</v>
      </c>
      <c r="I285" s="28">
        <f t="shared" ref="I285:T285" si="101">I15-I24+I13</f>
        <v>2572603153.1239486</v>
      </c>
      <c r="J285" s="28">
        <f t="shared" si="101"/>
        <v>3073937455.2291751</v>
      </c>
      <c r="K285" s="28">
        <f t="shared" si="101"/>
        <v>3898589669.1349096</v>
      </c>
      <c r="L285" s="28">
        <f t="shared" si="101"/>
        <v>4021732916.1051283</v>
      </c>
      <c r="M285" s="28">
        <f t="shared" si="101"/>
        <v>0</v>
      </c>
      <c r="N285" s="28">
        <f t="shared" si="101"/>
        <v>0</v>
      </c>
      <c r="O285" s="28">
        <f t="shared" si="101"/>
        <v>0</v>
      </c>
      <c r="P285" s="28">
        <f t="shared" si="101"/>
        <v>0</v>
      </c>
      <c r="Q285" s="28">
        <f t="shared" si="101"/>
        <v>0</v>
      </c>
      <c r="R285" s="28">
        <f t="shared" si="101"/>
        <v>0</v>
      </c>
      <c r="S285" s="28">
        <f t="shared" si="101"/>
        <v>0</v>
      </c>
      <c r="T285" s="28">
        <f t="shared" si="101"/>
        <v>0</v>
      </c>
    </row>
    <row r="286" spans="4:20" x14ac:dyDescent="0.3">
      <c r="D286" s="25" t="s">
        <v>102</v>
      </c>
      <c r="E286" s="6">
        <f t="shared" si="71"/>
        <v>33</v>
      </c>
      <c r="I286" s="28">
        <f>I285-I283</f>
        <v>0</v>
      </c>
      <c r="J286" s="28">
        <f t="shared" ref="J286:T286" si="102">J285-J283</f>
        <v>0</v>
      </c>
      <c r="K286" s="28">
        <f t="shared" si="102"/>
        <v>0</v>
      </c>
      <c r="L286" s="28">
        <f t="shared" si="102"/>
        <v>0</v>
      </c>
      <c r="M286" s="28">
        <f t="shared" si="102"/>
        <v>-4518121827.6650143</v>
      </c>
      <c r="N286" s="28">
        <f t="shared" si="102"/>
        <v>-4965944383.3715715</v>
      </c>
      <c r="O286" s="28">
        <f t="shared" si="102"/>
        <v>-5459048593.8562031</v>
      </c>
      <c r="P286" s="28">
        <f t="shared" si="102"/>
        <v>-6001900112.5963125</v>
      </c>
      <c r="Q286" s="28">
        <f t="shared" si="102"/>
        <v>-6599418983.319725</v>
      </c>
      <c r="R286" s="28">
        <f t="shared" si="102"/>
        <v>-7257024099.5521545</v>
      </c>
      <c r="S286" s="28">
        <f t="shared" si="102"/>
        <v>-7980682232.7249613</v>
      </c>
      <c r="T286" s="28">
        <f t="shared" si="102"/>
        <v>-8776962070.3521252</v>
      </c>
    </row>
    <row r="287" spans="4:20" x14ac:dyDescent="0.3">
      <c r="D287" s="25" t="s">
        <v>120</v>
      </c>
      <c r="E287" s="6">
        <f t="shared" si="71"/>
        <v>34</v>
      </c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</row>
    <row r="288" spans="4:20" x14ac:dyDescent="0.3">
      <c r="D288" s="25"/>
      <c r="E288" s="6">
        <f t="shared" si="71"/>
        <v>34</v>
      </c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</row>
    <row r="289" spans="1:20" x14ac:dyDescent="0.3">
      <c r="D289" s="25" t="s">
        <v>222</v>
      </c>
      <c r="E289" s="6">
        <f t="shared" si="71"/>
        <v>35</v>
      </c>
      <c r="I289" s="28">
        <f>I237+I241-I283</f>
        <v>1190330303.5500312</v>
      </c>
      <c r="J289" s="28">
        <f t="shared" ref="J289:T289" si="103">J237+J241-J283</f>
        <v>806071086.80130529</v>
      </c>
      <c r="K289" s="28">
        <f t="shared" si="103"/>
        <v>1579952239.4920807</v>
      </c>
      <c r="L289" s="28">
        <f t="shared" si="103"/>
        <v>1078315384.0636816</v>
      </c>
      <c r="M289" s="28">
        <f t="shared" si="103"/>
        <v>1090605083.9566202</v>
      </c>
      <c r="N289" s="28">
        <f t="shared" si="103"/>
        <v>1203655219.4122267</v>
      </c>
      <c r="O289" s="28">
        <f t="shared" si="103"/>
        <v>1327510969.2059765</v>
      </c>
      <c r="P289" s="28">
        <f t="shared" si="103"/>
        <v>1463315406.7720852</v>
      </c>
      <c r="Q289" s="28">
        <f t="shared" si="103"/>
        <v>1612318087.9855127</v>
      </c>
      <c r="R289" s="28">
        <f t="shared" si="103"/>
        <v>1775886678.8836079</v>
      </c>
      <c r="S289" s="28">
        <f t="shared" si="103"/>
        <v>1955519623.5543776</v>
      </c>
      <c r="T289" s="28">
        <f t="shared" si="103"/>
        <v>2152859971.5551491</v>
      </c>
    </row>
    <row r="290" spans="1:20" x14ac:dyDescent="0.3">
      <c r="E290" s="6">
        <f t="shared" si="71"/>
        <v>35</v>
      </c>
    </row>
    <row r="291" spans="1:20" x14ac:dyDescent="0.3">
      <c r="A291" s="7" t="s">
        <v>173</v>
      </c>
      <c r="E291" s="6">
        <f t="shared" si="71"/>
        <v>35</v>
      </c>
    </row>
    <row r="292" spans="1:20" x14ac:dyDescent="0.3">
      <c r="D292" s="25" t="s">
        <v>214</v>
      </c>
      <c r="E292" s="6">
        <f t="shared" si="71"/>
        <v>36</v>
      </c>
      <c r="I292" s="31">
        <f t="shared" ref="I292:T292" si="104">I222</f>
        <v>0.32902824120649049</v>
      </c>
      <c r="J292" s="31">
        <f t="shared" si="104"/>
        <v>0.52414105770328245</v>
      </c>
      <c r="K292" s="31">
        <f t="shared" si="104"/>
        <v>0.26857406118203098</v>
      </c>
      <c r="L292" s="31">
        <f t="shared" si="104"/>
        <v>0.12055342713593653</v>
      </c>
      <c r="M292" s="31">
        <f t="shared" si="104"/>
        <v>0.12055342713593653</v>
      </c>
      <c r="N292" s="31">
        <f t="shared" si="104"/>
        <v>0.12055342713593653</v>
      </c>
      <c r="O292" s="31">
        <f t="shared" si="104"/>
        <v>0.12055342713593653</v>
      </c>
      <c r="P292" s="31">
        <f t="shared" si="104"/>
        <v>0.12055342713593653</v>
      </c>
      <c r="Q292" s="31">
        <f t="shared" si="104"/>
        <v>0.12055342713593653</v>
      </c>
      <c r="R292" s="31">
        <f t="shared" si="104"/>
        <v>0.12055342713593653</v>
      </c>
      <c r="S292" s="31">
        <f t="shared" si="104"/>
        <v>0.12055342713593653</v>
      </c>
      <c r="T292" s="31">
        <f t="shared" si="104"/>
        <v>0.12055342713593653</v>
      </c>
    </row>
    <row r="293" spans="1:20" x14ac:dyDescent="0.3">
      <c r="D293" s="25" t="s">
        <v>215</v>
      </c>
      <c r="E293" s="6">
        <f t="shared" si="71"/>
        <v>37</v>
      </c>
      <c r="I293" s="11">
        <f t="shared" ref="I293:T293" si="105">I292*I237</f>
        <v>1245139764.7676899</v>
      </c>
      <c r="J293" s="11">
        <f t="shared" si="105"/>
        <v>2036003278.9981699</v>
      </c>
      <c r="K293" s="11">
        <f t="shared" si="105"/>
        <v>1472013088.9761636</v>
      </c>
      <c r="L293" s="11">
        <f t="shared" si="105"/>
        <v>614928927.08496583</v>
      </c>
      <c r="M293" s="11">
        <f t="shared" si="105"/>
        <v>676421819.7934624</v>
      </c>
      <c r="N293" s="11">
        <f t="shared" si="105"/>
        <v>744064001.77280879</v>
      </c>
      <c r="O293" s="11">
        <f t="shared" si="105"/>
        <v>818470401.95008969</v>
      </c>
      <c r="P293" s="11">
        <f t="shared" si="105"/>
        <v>900317442.14509881</v>
      </c>
      <c r="Q293" s="11">
        <f t="shared" si="105"/>
        <v>990349186.35960865</v>
      </c>
      <c r="R293" s="11">
        <f t="shared" si="105"/>
        <v>1089384104.9955695</v>
      </c>
      <c r="S293" s="11">
        <f t="shared" si="105"/>
        <v>1198322515.4951267</v>
      </c>
      <c r="T293" s="11">
        <f t="shared" si="105"/>
        <v>1318154767.0446396</v>
      </c>
    </row>
    <row r="294" spans="1:20" x14ac:dyDescent="0.3">
      <c r="E294" s="6">
        <f t="shared" si="71"/>
        <v>37</v>
      </c>
    </row>
    <row r="295" spans="1:20" x14ac:dyDescent="0.3">
      <c r="D295" s="6" t="s">
        <v>216</v>
      </c>
      <c r="E295" s="6">
        <f t="shared" si="71"/>
        <v>38</v>
      </c>
      <c r="I295" s="31">
        <f t="shared" ref="I295:T295" si="106">I225</f>
        <v>1.1410288265393824</v>
      </c>
      <c r="J295" s="31">
        <f t="shared" si="106"/>
        <v>1.8331361955189398</v>
      </c>
      <c r="K295" s="31">
        <f t="shared" si="106"/>
        <v>0.96819687316189018</v>
      </c>
      <c r="L295" s="31">
        <f t="shared" si="106"/>
        <v>1.1768071234021473</v>
      </c>
      <c r="M295" s="31">
        <f t="shared" si="106"/>
        <v>1.1768071234021473</v>
      </c>
      <c r="N295" s="31">
        <f t="shared" si="106"/>
        <v>1.1768071234021473</v>
      </c>
      <c r="O295" s="31">
        <f t="shared" si="106"/>
        <v>1.1768071234021473</v>
      </c>
      <c r="P295" s="31">
        <f t="shared" si="106"/>
        <v>1.1768071234021473</v>
      </c>
      <c r="Q295" s="31">
        <f t="shared" si="106"/>
        <v>1.1768071234021473</v>
      </c>
      <c r="R295" s="31">
        <f t="shared" si="106"/>
        <v>1.1768071234021473</v>
      </c>
      <c r="S295" s="31">
        <f t="shared" si="106"/>
        <v>1.1768071234021473</v>
      </c>
      <c r="T295" s="31">
        <f t="shared" si="106"/>
        <v>1.1768071234021473</v>
      </c>
    </row>
    <row r="296" spans="1:20" x14ac:dyDescent="0.3">
      <c r="D296" s="25" t="s">
        <v>217</v>
      </c>
      <c r="E296" s="6">
        <f t="shared" si="71"/>
        <v>39</v>
      </c>
      <c r="I296" s="11">
        <f t="shared" ref="I296:T296" si="107">I295*I245</f>
        <v>1092132238.2381248</v>
      </c>
      <c r="J296" s="11">
        <f t="shared" si="107"/>
        <v>1614585981.0089502</v>
      </c>
      <c r="K296" s="11">
        <f t="shared" si="107"/>
        <v>1501776768.6604426</v>
      </c>
      <c r="L296" s="11">
        <f t="shared" si="107"/>
        <v>1615311080.3556349</v>
      </c>
      <c r="M296" s="11">
        <f t="shared" si="107"/>
        <v>1848848678.6592903</v>
      </c>
      <c r="N296" s="11">
        <f t="shared" si="107"/>
        <v>2033733546.5252194</v>
      </c>
      <c r="O296" s="11">
        <f t="shared" si="107"/>
        <v>2237106901.1777415</v>
      </c>
      <c r="P296" s="11">
        <f t="shared" si="107"/>
        <v>2460817591.295516</v>
      </c>
      <c r="Q296" s="11">
        <f t="shared" si="107"/>
        <v>2706899350.4250679</v>
      </c>
      <c r="R296" s="11">
        <f t="shared" si="107"/>
        <v>2977589285.4675746</v>
      </c>
      <c r="S296" s="11">
        <f t="shared" si="107"/>
        <v>3275348214.0143323</v>
      </c>
      <c r="T296" s="11">
        <f t="shared" si="107"/>
        <v>3602883035.4157658</v>
      </c>
    </row>
    <row r="297" spans="1:20" x14ac:dyDescent="0.3">
      <c r="E297" s="6">
        <f t="shared" si="71"/>
        <v>39</v>
      </c>
    </row>
    <row r="298" spans="1:20" x14ac:dyDescent="0.3">
      <c r="D298" s="25" t="s">
        <v>218</v>
      </c>
      <c r="E298" s="6">
        <f t="shared" si="71"/>
        <v>40</v>
      </c>
      <c r="I298" s="31">
        <f t="shared" ref="I298:T298" si="108">I228</f>
        <v>0.37276151415019898</v>
      </c>
      <c r="J298" s="31">
        <f t="shared" si="108"/>
        <v>1.8329683767776335</v>
      </c>
      <c r="K298" s="31">
        <f t="shared" si="108"/>
        <v>0.33997959661948068</v>
      </c>
      <c r="L298" s="31">
        <f t="shared" si="108"/>
        <v>0.52551452247214692</v>
      </c>
      <c r="M298" s="31">
        <f t="shared" si="108"/>
        <v>0.52551452247214692</v>
      </c>
      <c r="N298" s="31">
        <f t="shared" si="108"/>
        <v>0.52551452247214692</v>
      </c>
      <c r="O298" s="31">
        <f t="shared" si="108"/>
        <v>0.52551452247214692</v>
      </c>
      <c r="P298" s="31">
        <f t="shared" si="108"/>
        <v>0.52551452247214692</v>
      </c>
      <c r="Q298" s="31">
        <f t="shared" si="108"/>
        <v>0.52551452247214692</v>
      </c>
      <c r="R298" s="31">
        <f t="shared" si="108"/>
        <v>0.52551452247214692</v>
      </c>
      <c r="S298" s="31">
        <f t="shared" si="108"/>
        <v>0.52551452247214692</v>
      </c>
      <c r="T298" s="31">
        <f t="shared" si="108"/>
        <v>0.52551452247214692</v>
      </c>
    </row>
    <row r="299" spans="1:20" x14ac:dyDescent="0.3">
      <c r="D299" s="25" t="s">
        <v>219</v>
      </c>
      <c r="E299" s="6">
        <f t="shared" si="71"/>
        <v>41</v>
      </c>
      <c r="I299" s="11">
        <f t="shared" ref="I299:T299" si="109">I298*I245</f>
        <v>356787538.84999955</v>
      </c>
      <c r="J299" s="11">
        <f t="shared" si="109"/>
        <v>1614438169.9582896</v>
      </c>
      <c r="K299" s="11">
        <f t="shared" si="109"/>
        <v>527344669.43099964</v>
      </c>
      <c r="L299" s="11">
        <f t="shared" si="109"/>
        <v>721332675.64099979</v>
      </c>
      <c r="M299" s="11">
        <f t="shared" si="109"/>
        <v>825621132.9516871</v>
      </c>
      <c r="N299" s="11">
        <f t="shared" si="109"/>
        <v>908183246.24685585</v>
      </c>
      <c r="O299" s="11">
        <f t="shared" si="109"/>
        <v>999001570.87154162</v>
      </c>
      <c r="P299" s="11">
        <f t="shared" si="109"/>
        <v>1098901727.9586959</v>
      </c>
      <c r="Q299" s="11">
        <f t="shared" si="109"/>
        <v>1208791900.7545655</v>
      </c>
      <c r="R299" s="11">
        <f t="shared" si="109"/>
        <v>1329671090.8300221</v>
      </c>
      <c r="S299" s="11">
        <f t="shared" si="109"/>
        <v>1462638199.9130244</v>
      </c>
      <c r="T299" s="11">
        <f t="shared" si="109"/>
        <v>1608902019.9043269</v>
      </c>
    </row>
    <row r="300" spans="1:20" x14ac:dyDescent="0.3">
      <c r="E300" s="6">
        <f t="shared" si="71"/>
        <v>41</v>
      </c>
    </row>
    <row r="301" spans="1:20" x14ac:dyDescent="0.3">
      <c r="D301" s="25" t="s">
        <v>220</v>
      </c>
      <c r="E301" s="6">
        <f t="shared" si="71"/>
        <v>42</v>
      </c>
      <c r="I301" s="11">
        <f>I293+I296-I299</f>
        <v>1980484464.1558151</v>
      </c>
      <c r="J301" s="11">
        <f t="shared" ref="J301:T301" si="110">J293+J296-J299</f>
        <v>2036151090.0488305</v>
      </c>
      <c r="K301" s="11">
        <f t="shared" si="110"/>
        <v>2446445188.2056065</v>
      </c>
      <c r="L301" s="11">
        <f t="shared" si="110"/>
        <v>1508907331.7996011</v>
      </c>
      <c r="M301" s="11">
        <f t="shared" si="110"/>
        <v>1699649365.5010655</v>
      </c>
      <c r="N301" s="11">
        <f t="shared" si="110"/>
        <v>1869614302.0511723</v>
      </c>
      <c r="O301" s="11">
        <f t="shared" si="110"/>
        <v>2056575732.25629</v>
      </c>
      <c r="P301" s="11">
        <f t="shared" si="110"/>
        <v>2262233305.4819188</v>
      </c>
      <c r="Q301" s="11">
        <f t="shared" si="110"/>
        <v>2488456636.0301113</v>
      </c>
      <c r="R301" s="11">
        <f t="shared" si="110"/>
        <v>2737302299.6331224</v>
      </c>
      <c r="S301" s="11">
        <f t="shared" si="110"/>
        <v>3011032529.5964341</v>
      </c>
      <c r="T301" s="11">
        <f t="shared" si="110"/>
        <v>3312135782.5560784</v>
      </c>
    </row>
    <row r="302" spans="1:20" x14ac:dyDescent="0.3">
      <c r="D302" s="25" t="s">
        <v>221</v>
      </c>
      <c r="E302" s="6">
        <f t="shared" ref="E302:E327" si="111">IF(D302="",E301,E301+1)</f>
        <v>43</v>
      </c>
      <c r="J302" s="11">
        <f>J301-I301</f>
        <v>55666625.893015385</v>
      </c>
      <c r="K302" s="11">
        <f t="shared" ref="K302:T302" si="112">K301-J301</f>
        <v>410294098.15677595</v>
      </c>
      <c r="L302" s="11">
        <f t="shared" si="112"/>
        <v>-937537856.40600538</v>
      </c>
      <c r="M302" s="11">
        <f t="shared" si="112"/>
        <v>190742033.70146441</v>
      </c>
      <c r="N302" s="11">
        <f t="shared" si="112"/>
        <v>169964936.55010676</v>
      </c>
      <c r="O302" s="11">
        <f t="shared" si="112"/>
        <v>186961430.2051177</v>
      </c>
      <c r="P302" s="11">
        <f t="shared" si="112"/>
        <v>205657573.22562885</v>
      </c>
      <c r="Q302" s="11">
        <f t="shared" si="112"/>
        <v>226223330.5481925</v>
      </c>
      <c r="R302" s="11">
        <f t="shared" si="112"/>
        <v>248845663.60301113</v>
      </c>
      <c r="S302" s="11">
        <f t="shared" si="112"/>
        <v>273730229.96331167</v>
      </c>
      <c r="T302" s="11">
        <f t="shared" si="112"/>
        <v>301103252.95964432</v>
      </c>
    </row>
    <row r="303" spans="1:20" x14ac:dyDescent="0.3">
      <c r="E303" s="6">
        <f t="shared" si="111"/>
        <v>43</v>
      </c>
    </row>
    <row r="304" spans="1:20" x14ac:dyDescent="0.3">
      <c r="A304" s="7" t="s">
        <v>174</v>
      </c>
      <c r="E304" s="6">
        <f t="shared" si="111"/>
        <v>43</v>
      </c>
    </row>
    <row r="305" spans="2:20" x14ac:dyDescent="0.3">
      <c r="D305" s="6" t="s">
        <v>209</v>
      </c>
      <c r="E305" s="6">
        <f t="shared" si="111"/>
        <v>44</v>
      </c>
      <c r="I305" s="6">
        <f t="shared" ref="I305:T305" si="113">I219</f>
        <v>0</v>
      </c>
      <c r="J305" s="11">
        <f t="shared" si="113"/>
        <v>219263835.04000002</v>
      </c>
      <c r="K305" s="11">
        <f t="shared" si="113"/>
        <v>107875748.44720006</v>
      </c>
      <c r="L305" s="11">
        <f t="shared" si="113"/>
        <v>168312333.91000003</v>
      </c>
      <c r="M305" s="11">
        <f t="shared" si="113"/>
        <v>169400000</v>
      </c>
      <c r="N305" s="11">
        <f t="shared" si="113"/>
        <v>186340000.00000003</v>
      </c>
      <c r="O305" s="11">
        <f t="shared" si="113"/>
        <v>204974000.00000006</v>
      </c>
      <c r="P305" s="11">
        <f t="shared" si="113"/>
        <v>225471400.00000009</v>
      </c>
      <c r="Q305" s="11">
        <f t="shared" si="113"/>
        <v>248018540.00000012</v>
      </c>
      <c r="R305" s="11">
        <f t="shared" si="113"/>
        <v>272820394.00000018</v>
      </c>
      <c r="S305" s="11">
        <f t="shared" si="113"/>
        <v>300102433.40000021</v>
      </c>
      <c r="T305" s="11">
        <f t="shared" si="113"/>
        <v>330112676.74000025</v>
      </c>
    </row>
    <row r="306" spans="2:20" x14ac:dyDescent="0.3">
      <c r="D306" s="6" t="s">
        <v>210</v>
      </c>
      <c r="E306" s="6">
        <f t="shared" si="111"/>
        <v>45</v>
      </c>
      <c r="I306" s="31">
        <f t="shared" ref="I306:T306" si="114">I199</f>
        <v>0</v>
      </c>
      <c r="J306" s="31">
        <f t="shared" si="114"/>
        <v>3.0212644665502594E-2</v>
      </c>
      <c r="K306" s="31">
        <f t="shared" si="114"/>
        <v>0.1071628047841874</v>
      </c>
      <c r="L306" s="31">
        <f t="shared" si="114"/>
        <v>0.12517440851316325</v>
      </c>
      <c r="M306" s="31">
        <f t="shared" si="114"/>
        <v>0.12517440851316325</v>
      </c>
      <c r="N306" s="31">
        <f t="shared" si="114"/>
        <v>0.12517440851316325</v>
      </c>
      <c r="O306" s="31">
        <f t="shared" si="114"/>
        <v>0.12517440851316325</v>
      </c>
      <c r="P306" s="31">
        <f t="shared" si="114"/>
        <v>0.12517440851316325</v>
      </c>
      <c r="Q306" s="31">
        <f t="shared" si="114"/>
        <v>0.12517440851316325</v>
      </c>
      <c r="R306" s="31">
        <f t="shared" si="114"/>
        <v>0.12517440851316325</v>
      </c>
      <c r="S306" s="31">
        <f t="shared" si="114"/>
        <v>0.12517440851316325</v>
      </c>
      <c r="T306" s="31">
        <f t="shared" si="114"/>
        <v>0.12517440851316325</v>
      </c>
    </row>
    <row r="307" spans="2:20" x14ac:dyDescent="0.3">
      <c r="D307" s="6" t="s">
        <v>211</v>
      </c>
      <c r="E307" s="6">
        <f t="shared" si="111"/>
        <v>46</v>
      </c>
      <c r="I307" s="6">
        <f t="shared" ref="I307:T307" si="115">IF(I3,I198,I309*I306)</f>
        <v>0</v>
      </c>
      <c r="J307" s="11">
        <f t="shared" si="115"/>
        <v>25464384.059999999</v>
      </c>
      <c r="K307" s="11">
        <f t="shared" si="115"/>
        <v>111089044.38</v>
      </c>
      <c r="L307" s="11">
        <f t="shared" si="115"/>
        <v>129358336.3</v>
      </c>
      <c r="M307" s="11">
        <f t="shared" si="115"/>
        <v>134234379.91005492</v>
      </c>
      <c r="N307" s="11">
        <f t="shared" si="115"/>
        <v>138636215.60481241</v>
      </c>
      <c r="O307" s="11">
        <f t="shared" si="115"/>
        <v>144607508.6003195</v>
      </c>
      <c r="P307" s="11">
        <f t="shared" si="115"/>
        <v>152163848.45528948</v>
      </c>
      <c r="Q307" s="11">
        <f t="shared" si="115"/>
        <v>161340077.85944685</v>
      </c>
      <c r="R307" s="11">
        <f t="shared" si="115"/>
        <v>172190003.08872122</v>
      </c>
      <c r="S307" s="11">
        <f t="shared" si="115"/>
        <v>184786352.74948895</v>
      </c>
      <c r="T307" s="11">
        <f t="shared" si="115"/>
        <v>199220974.93697295</v>
      </c>
    </row>
    <row r="308" spans="2:20" x14ac:dyDescent="0.3">
      <c r="E308" s="6">
        <f t="shared" si="111"/>
        <v>46</v>
      </c>
    </row>
    <row r="309" spans="2:20" x14ac:dyDescent="0.3">
      <c r="D309" s="25" t="s">
        <v>223</v>
      </c>
      <c r="E309" s="6">
        <f t="shared" si="111"/>
        <v>47</v>
      </c>
      <c r="J309" s="11">
        <f>I312</f>
        <v>842838630.71000016</v>
      </c>
      <c r="K309" s="11">
        <f t="shared" ref="K309:T309" si="116">J312</f>
        <v>1036638081.6900002</v>
      </c>
      <c r="L309" s="11">
        <f t="shared" si="116"/>
        <v>1033424785.7572002</v>
      </c>
      <c r="M309" s="11">
        <f t="shared" si="116"/>
        <v>1072378783.3672003</v>
      </c>
      <c r="N309" s="11">
        <f t="shared" si="116"/>
        <v>1107544403.4571455</v>
      </c>
      <c r="O309" s="11">
        <f t="shared" si="116"/>
        <v>1155248187.8523331</v>
      </c>
      <c r="P309" s="11">
        <f t="shared" si="116"/>
        <v>1215614679.2520137</v>
      </c>
      <c r="Q309" s="11">
        <f t="shared" si="116"/>
        <v>1288922230.7967243</v>
      </c>
      <c r="R309" s="11">
        <f t="shared" si="116"/>
        <v>1375600692.9372776</v>
      </c>
      <c r="S309" s="11">
        <f t="shared" si="116"/>
        <v>1476231083.8485565</v>
      </c>
      <c r="T309" s="11">
        <f t="shared" si="116"/>
        <v>1591547164.4990678</v>
      </c>
    </row>
    <row r="310" spans="2:20" x14ac:dyDescent="0.3">
      <c r="D310" s="25" t="s">
        <v>224</v>
      </c>
      <c r="E310" s="6">
        <f t="shared" si="111"/>
        <v>48</v>
      </c>
      <c r="J310" s="11">
        <f>J305</f>
        <v>219263835.04000002</v>
      </c>
      <c r="K310" s="11">
        <f t="shared" ref="K310:T310" si="117">K305</f>
        <v>107875748.44720006</v>
      </c>
      <c r="L310" s="11">
        <f t="shared" si="117"/>
        <v>168312333.91000003</v>
      </c>
      <c r="M310" s="11">
        <f t="shared" si="117"/>
        <v>169400000</v>
      </c>
      <c r="N310" s="11">
        <f t="shared" si="117"/>
        <v>186340000.00000003</v>
      </c>
      <c r="O310" s="11">
        <f t="shared" si="117"/>
        <v>204974000.00000006</v>
      </c>
      <c r="P310" s="11">
        <f t="shared" si="117"/>
        <v>225471400.00000009</v>
      </c>
      <c r="Q310" s="11">
        <f t="shared" si="117"/>
        <v>248018540.00000012</v>
      </c>
      <c r="R310" s="11">
        <f t="shared" si="117"/>
        <v>272820394.00000018</v>
      </c>
      <c r="S310" s="11">
        <f t="shared" si="117"/>
        <v>300102433.40000021</v>
      </c>
      <c r="T310" s="11">
        <f t="shared" si="117"/>
        <v>330112676.74000025</v>
      </c>
    </row>
    <row r="311" spans="2:20" x14ac:dyDescent="0.3">
      <c r="D311" s="25" t="s">
        <v>225</v>
      </c>
      <c r="E311" s="6">
        <f t="shared" si="111"/>
        <v>49</v>
      </c>
      <c r="J311" s="11">
        <f>J307</f>
        <v>25464384.059999999</v>
      </c>
      <c r="K311" s="11">
        <f t="shared" ref="K311:T311" si="118">K307</f>
        <v>111089044.38</v>
      </c>
      <c r="L311" s="11">
        <f t="shared" si="118"/>
        <v>129358336.3</v>
      </c>
      <c r="M311" s="11">
        <f t="shared" si="118"/>
        <v>134234379.91005492</v>
      </c>
      <c r="N311" s="11">
        <f t="shared" si="118"/>
        <v>138636215.60481241</v>
      </c>
      <c r="O311" s="11">
        <f t="shared" si="118"/>
        <v>144607508.6003195</v>
      </c>
      <c r="P311" s="11">
        <f t="shared" si="118"/>
        <v>152163848.45528948</v>
      </c>
      <c r="Q311" s="11">
        <f t="shared" si="118"/>
        <v>161340077.85944685</v>
      </c>
      <c r="R311" s="11">
        <f t="shared" si="118"/>
        <v>172190003.08872122</v>
      </c>
      <c r="S311" s="11">
        <f t="shared" si="118"/>
        <v>184786352.74948895</v>
      </c>
      <c r="T311" s="11">
        <f t="shared" si="118"/>
        <v>199220974.93697295</v>
      </c>
    </row>
    <row r="312" spans="2:20" x14ac:dyDescent="0.3">
      <c r="D312" s="25" t="s">
        <v>226</v>
      </c>
      <c r="E312" s="6">
        <f t="shared" si="111"/>
        <v>50</v>
      </c>
      <c r="I312" s="11">
        <f t="shared" ref="I312:T312" si="119">IF(I3,I84,I309+I310-I311)</f>
        <v>842838630.71000016</v>
      </c>
      <c r="J312" s="11">
        <f t="shared" si="119"/>
        <v>1036638081.6900002</v>
      </c>
      <c r="K312" s="11">
        <f t="shared" si="119"/>
        <v>1033424785.7572002</v>
      </c>
      <c r="L312" s="11">
        <f t="shared" si="119"/>
        <v>1072378783.3672003</v>
      </c>
      <c r="M312" s="11">
        <f t="shared" si="119"/>
        <v>1107544403.4571455</v>
      </c>
      <c r="N312" s="11">
        <f t="shared" si="119"/>
        <v>1155248187.8523331</v>
      </c>
      <c r="O312" s="11">
        <f t="shared" si="119"/>
        <v>1215614679.2520137</v>
      </c>
      <c r="P312" s="11">
        <f t="shared" si="119"/>
        <v>1288922230.7967243</v>
      </c>
      <c r="Q312" s="11">
        <f t="shared" si="119"/>
        <v>1375600692.9372776</v>
      </c>
      <c r="R312" s="11">
        <f t="shared" si="119"/>
        <v>1476231083.8485565</v>
      </c>
      <c r="S312" s="11">
        <f t="shared" si="119"/>
        <v>1591547164.4990678</v>
      </c>
      <c r="T312" s="11">
        <f t="shared" si="119"/>
        <v>1722438866.3020952</v>
      </c>
    </row>
    <row r="313" spans="2:20" x14ac:dyDescent="0.3">
      <c r="E313" s="6">
        <f t="shared" si="111"/>
        <v>50</v>
      </c>
    </row>
    <row r="314" spans="2:20" x14ac:dyDescent="0.3">
      <c r="B314" s="6" t="s">
        <v>175</v>
      </c>
      <c r="E314" s="6">
        <f t="shared" si="111"/>
        <v>50</v>
      </c>
    </row>
    <row r="315" spans="2:20" x14ac:dyDescent="0.3">
      <c r="C315" s="6" t="s">
        <v>227</v>
      </c>
      <c r="E315" s="6">
        <f t="shared" si="111"/>
        <v>50</v>
      </c>
    </row>
    <row r="316" spans="2:20" x14ac:dyDescent="0.3">
      <c r="D316" s="6" t="s">
        <v>251</v>
      </c>
      <c r="E316" s="6">
        <f t="shared" si="111"/>
        <v>51</v>
      </c>
      <c r="I316" s="28">
        <f t="shared" ref="I316:T316" si="120">IF(I3,I52,I317*I332)</f>
        <v>94228324.520002559</v>
      </c>
      <c r="J316" s="28">
        <f t="shared" si="120"/>
        <v>719700731.07000268</v>
      </c>
      <c r="K316" s="28">
        <f t="shared" si="120"/>
        <v>233299232.75999841</v>
      </c>
      <c r="L316" s="28">
        <f t="shared" si="120"/>
        <v>199035728.0300006</v>
      </c>
      <c r="M316" s="28">
        <f t="shared" si="120"/>
        <v>168261807.34864902</v>
      </c>
      <c r="N316" s="28">
        <f t="shared" si="120"/>
        <v>185087988.08351395</v>
      </c>
      <c r="O316" s="28">
        <f t="shared" si="120"/>
        <v>203596786.89186537</v>
      </c>
      <c r="P316" s="28">
        <f t="shared" si="120"/>
        <v>223956465.58105192</v>
      </c>
      <c r="Q316" s="28">
        <f t="shared" si="120"/>
        <v>246352112.13915712</v>
      </c>
      <c r="R316" s="28">
        <f t="shared" si="120"/>
        <v>270987323.35307288</v>
      </c>
      <c r="S316" s="28">
        <f t="shared" si="120"/>
        <v>298086055.68838018</v>
      </c>
      <c r="T316" s="28">
        <f t="shared" si="120"/>
        <v>327894661.25721824</v>
      </c>
    </row>
    <row r="317" spans="2:20" x14ac:dyDescent="0.3">
      <c r="D317" s="6" t="s">
        <v>132</v>
      </c>
      <c r="E317" s="6">
        <f t="shared" si="111"/>
        <v>52</v>
      </c>
      <c r="H317" s="44">
        <v>0.03</v>
      </c>
      <c r="I317" s="31">
        <f t="shared" ref="I317:T317" si="121">IF(I3,I316/I237,$H$317)</f>
        <v>2.4899839171416509E-2</v>
      </c>
      <c r="J317" s="31">
        <f t="shared" si="121"/>
        <v>0.18527706035840619</v>
      </c>
      <c r="K317" s="31">
        <f t="shared" si="121"/>
        <v>4.2566280749980021E-2</v>
      </c>
      <c r="L317" s="31">
        <f t="shared" si="121"/>
        <v>3.9019857547207895E-2</v>
      </c>
      <c r="M317" s="31">
        <f t="shared" si="121"/>
        <v>0.03</v>
      </c>
      <c r="N317" s="31">
        <f t="shared" si="121"/>
        <v>0.03</v>
      </c>
      <c r="O317" s="31">
        <f t="shared" si="121"/>
        <v>0.03</v>
      </c>
      <c r="P317" s="31">
        <f t="shared" si="121"/>
        <v>0.03</v>
      </c>
      <c r="Q317" s="31">
        <f t="shared" si="121"/>
        <v>0.03</v>
      </c>
      <c r="R317" s="31">
        <f t="shared" si="121"/>
        <v>0.03</v>
      </c>
      <c r="S317" s="31">
        <f t="shared" si="121"/>
        <v>0.03</v>
      </c>
      <c r="T317" s="31">
        <f t="shared" si="121"/>
        <v>0.03</v>
      </c>
    </row>
    <row r="318" spans="2:20" x14ac:dyDescent="0.3">
      <c r="D318" s="6" t="s">
        <v>268</v>
      </c>
      <c r="E318" s="6">
        <f t="shared" si="111"/>
        <v>53</v>
      </c>
      <c r="I318" s="28">
        <f>I316-I320</f>
        <v>94228324.520002559</v>
      </c>
      <c r="J318" s="28">
        <f t="shared" ref="J318:T318" si="122">J316-J320</f>
        <v>625472406.55000007</v>
      </c>
      <c r="K318" s="28">
        <f>K316-K320</f>
        <v>-486401498.31000423</v>
      </c>
      <c r="L318" s="28">
        <f t="shared" si="122"/>
        <v>-34263504.729997814</v>
      </c>
      <c r="M318" s="28">
        <f t="shared" si="122"/>
        <v>-30773920.681351572</v>
      </c>
      <c r="N318" s="28">
        <f t="shared" si="122"/>
        <v>16826180.73486492</v>
      </c>
      <c r="O318" s="28">
        <f t="shared" si="122"/>
        <v>18508798.808351427</v>
      </c>
      <c r="P318" s="28">
        <f t="shared" si="122"/>
        <v>20359678.689186543</v>
      </c>
      <c r="Q318" s="28">
        <f t="shared" si="122"/>
        <v>22395646.558105201</v>
      </c>
      <c r="R318" s="28">
        <f t="shared" si="122"/>
        <v>24635211.213915765</v>
      </c>
      <c r="S318" s="28">
        <f t="shared" si="122"/>
        <v>27098732.3353073</v>
      </c>
      <c r="T318" s="28">
        <f t="shared" si="122"/>
        <v>29808605.56883806</v>
      </c>
    </row>
    <row r="319" spans="2:20" x14ac:dyDescent="0.3">
      <c r="E319" s="6">
        <f t="shared" si="111"/>
        <v>53</v>
      </c>
    </row>
    <row r="320" spans="2:20" x14ac:dyDescent="0.3">
      <c r="D320" s="6" t="s">
        <v>223</v>
      </c>
      <c r="E320" s="6">
        <f t="shared" si="111"/>
        <v>54</v>
      </c>
      <c r="I320" s="34">
        <v>0</v>
      </c>
      <c r="J320" s="11">
        <f>I322</f>
        <v>94228324.520002559</v>
      </c>
      <c r="K320" s="11">
        <f>J322</f>
        <v>719700731.07000268</v>
      </c>
      <c r="L320" s="11">
        <f t="shared" ref="L320:T320" si="123">K322</f>
        <v>233299232.75999841</v>
      </c>
      <c r="M320" s="11">
        <f t="shared" si="123"/>
        <v>199035728.0300006</v>
      </c>
      <c r="N320" s="11">
        <f t="shared" si="123"/>
        <v>168261807.34864902</v>
      </c>
      <c r="O320" s="11">
        <f t="shared" si="123"/>
        <v>185087988.08351395</v>
      </c>
      <c r="P320" s="11">
        <f t="shared" si="123"/>
        <v>203596786.89186537</v>
      </c>
      <c r="Q320" s="11">
        <f t="shared" si="123"/>
        <v>223956465.58105192</v>
      </c>
      <c r="R320" s="11">
        <f t="shared" si="123"/>
        <v>246352112.13915712</v>
      </c>
      <c r="S320" s="11">
        <f t="shared" si="123"/>
        <v>270987323.35307288</v>
      </c>
      <c r="T320" s="11">
        <f t="shared" si="123"/>
        <v>298086055.68838018</v>
      </c>
    </row>
    <row r="321" spans="1:20" x14ac:dyDescent="0.3">
      <c r="D321" s="6" t="s">
        <v>269</v>
      </c>
      <c r="E321" s="6">
        <f t="shared" si="111"/>
        <v>55</v>
      </c>
      <c r="I321" s="11">
        <f>I354</f>
        <v>94228324.520002559</v>
      </c>
      <c r="J321" s="11">
        <f>J354</f>
        <v>625472406.55000007</v>
      </c>
      <c r="K321" s="11">
        <f t="shared" ref="K321:T321" si="124">K354</f>
        <v>-486401498.31000423</v>
      </c>
      <c r="L321" s="11">
        <f t="shared" si="124"/>
        <v>-34263504.729997814</v>
      </c>
      <c r="M321" s="11">
        <f t="shared" si="124"/>
        <v>-30773920.681351572</v>
      </c>
      <c r="N321" s="11">
        <f t="shared" si="124"/>
        <v>16826180.73486492</v>
      </c>
      <c r="O321" s="11">
        <f t="shared" si="124"/>
        <v>18508798.808351427</v>
      </c>
      <c r="P321" s="11">
        <f t="shared" si="124"/>
        <v>20359678.689186543</v>
      </c>
      <c r="Q321" s="11">
        <f t="shared" si="124"/>
        <v>22395646.558105201</v>
      </c>
      <c r="R321" s="11">
        <f t="shared" si="124"/>
        <v>24635211.213915765</v>
      </c>
      <c r="S321" s="11">
        <f t="shared" si="124"/>
        <v>27098732.3353073</v>
      </c>
      <c r="T321" s="11">
        <f t="shared" si="124"/>
        <v>29808605.56883806</v>
      </c>
    </row>
    <row r="322" spans="1:20" x14ac:dyDescent="0.3">
      <c r="D322" s="25" t="s">
        <v>226</v>
      </c>
      <c r="E322" s="6">
        <f t="shared" si="111"/>
        <v>56</v>
      </c>
      <c r="I322" s="11">
        <f t="shared" ref="I322:T322" si="125">IF(I3,I52,I320+I321)</f>
        <v>94228324.520002559</v>
      </c>
      <c r="J322" s="11">
        <f t="shared" si="125"/>
        <v>719700731.07000268</v>
      </c>
      <c r="K322" s="11">
        <f t="shared" si="125"/>
        <v>233299232.75999841</v>
      </c>
      <c r="L322" s="11">
        <f t="shared" si="125"/>
        <v>199035728.0300006</v>
      </c>
      <c r="M322" s="11">
        <f t="shared" si="125"/>
        <v>168261807.34864902</v>
      </c>
      <c r="N322" s="11">
        <f t="shared" si="125"/>
        <v>185087988.08351395</v>
      </c>
      <c r="O322" s="11">
        <f t="shared" si="125"/>
        <v>203596786.89186537</v>
      </c>
      <c r="P322" s="11">
        <f t="shared" si="125"/>
        <v>223956465.58105192</v>
      </c>
      <c r="Q322" s="11">
        <f t="shared" si="125"/>
        <v>246352112.13915712</v>
      </c>
      <c r="R322" s="11">
        <f t="shared" si="125"/>
        <v>270987323.35307288</v>
      </c>
      <c r="S322" s="11">
        <f t="shared" si="125"/>
        <v>298086055.68838018</v>
      </c>
      <c r="T322" s="11">
        <f t="shared" si="125"/>
        <v>327894661.25721824</v>
      </c>
    </row>
    <row r="323" spans="1:20" x14ac:dyDescent="0.3">
      <c r="E323" s="6">
        <f t="shared" si="111"/>
        <v>56</v>
      </c>
    </row>
    <row r="324" spans="1:20" x14ac:dyDescent="0.3">
      <c r="D324" s="25" t="s">
        <v>228</v>
      </c>
      <c r="E324" s="6">
        <f t="shared" si="111"/>
        <v>57</v>
      </c>
    </row>
    <row r="325" spans="1:20" x14ac:dyDescent="0.3">
      <c r="E325" s="6">
        <f t="shared" si="111"/>
        <v>57</v>
      </c>
    </row>
    <row r="326" spans="1:20" x14ac:dyDescent="0.3">
      <c r="D326" s="25" t="s">
        <v>229</v>
      </c>
      <c r="E326" s="6">
        <f t="shared" si="111"/>
        <v>58</v>
      </c>
    </row>
    <row r="327" spans="1:20" x14ac:dyDescent="0.3">
      <c r="D327" s="25" t="s">
        <v>230</v>
      </c>
      <c r="E327" s="6">
        <f t="shared" si="111"/>
        <v>59</v>
      </c>
    </row>
    <row r="329" spans="1:20" x14ac:dyDescent="0.3">
      <c r="A329" s="7" t="s">
        <v>234</v>
      </c>
    </row>
    <row r="330" spans="1:20" x14ac:dyDescent="0.3">
      <c r="C330" s="6" t="s">
        <v>241</v>
      </c>
      <c r="I330" s="31">
        <f t="shared" ref="I330:T330" si="126">I203</f>
        <v>7.179876254038571E-2</v>
      </c>
      <c r="J330" s="31">
        <f t="shared" si="126"/>
        <v>0.10032390726027698</v>
      </c>
      <c r="K330" s="31">
        <f t="shared" si="126"/>
        <v>7.6653281349280164E-2</v>
      </c>
      <c r="L330" s="31">
        <f t="shared" si="126"/>
        <v>7.5370154818923507E-2</v>
      </c>
      <c r="M330" s="31">
        <f t="shared" si="126"/>
        <v>0.1</v>
      </c>
      <c r="N330" s="31">
        <f t="shared" si="126"/>
        <v>0.1</v>
      </c>
      <c r="O330" s="31">
        <f t="shared" si="126"/>
        <v>0.1</v>
      </c>
      <c r="P330" s="31">
        <f t="shared" si="126"/>
        <v>0.1</v>
      </c>
      <c r="Q330" s="31">
        <f t="shared" si="126"/>
        <v>0.1</v>
      </c>
      <c r="R330" s="31">
        <f t="shared" si="126"/>
        <v>0.1</v>
      </c>
      <c r="S330" s="31">
        <f t="shared" si="126"/>
        <v>0.1</v>
      </c>
      <c r="T330" s="31">
        <f t="shared" si="126"/>
        <v>0.1</v>
      </c>
    </row>
    <row r="332" spans="1:20" x14ac:dyDescent="0.3">
      <c r="B332" s="6" t="s">
        <v>123</v>
      </c>
      <c r="I332" s="33">
        <f t="shared" ref="I332:T332" si="127">I237+I241</f>
        <v>3762933456.6739798</v>
      </c>
      <c r="J332" s="33">
        <f t="shared" si="127"/>
        <v>3880008542.0304799</v>
      </c>
      <c r="K332" s="33">
        <f t="shared" si="127"/>
        <v>5478541908.6269903</v>
      </c>
      <c r="L332" s="33">
        <f t="shared" si="127"/>
        <v>5100048300.1688099</v>
      </c>
      <c r="M332" s="33">
        <f t="shared" si="127"/>
        <v>5608726911.6216345</v>
      </c>
      <c r="N332" s="33">
        <f t="shared" si="127"/>
        <v>6169599602.7837982</v>
      </c>
      <c r="O332" s="33">
        <f t="shared" si="127"/>
        <v>6786559563.0621796</v>
      </c>
      <c r="P332" s="33">
        <f t="shared" si="127"/>
        <v>7465215519.3683977</v>
      </c>
      <c r="Q332" s="33">
        <f t="shared" si="127"/>
        <v>8211737071.3052378</v>
      </c>
      <c r="R332" s="33">
        <f t="shared" si="127"/>
        <v>9032910778.4357624</v>
      </c>
      <c r="S332" s="33">
        <f t="shared" si="127"/>
        <v>9936201856.2793388</v>
      </c>
      <c r="T332" s="33">
        <f t="shared" si="127"/>
        <v>10929822041.907274</v>
      </c>
    </row>
    <row r="333" spans="1:20" x14ac:dyDescent="0.3">
      <c r="B333" s="6" t="s">
        <v>235</v>
      </c>
      <c r="I333" s="33">
        <f t="shared" ref="I333:T333" si="128">I283</f>
        <v>2572603153.1239486</v>
      </c>
      <c r="J333" s="33">
        <f t="shared" si="128"/>
        <v>3073937455.2291746</v>
      </c>
      <c r="K333" s="33">
        <f t="shared" si="128"/>
        <v>3898589669.1349096</v>
      </c>
      <c r="L333" s="33">
        <f t="shared" si="128"/>
        <v>4021732916.1051283</v>
      </c>
      <c r="M333" s="33">
        <f t="shared" si="128"/>
        <v>4518121827.6650143</v>
      </c>
      <c r="N333" s="33">
        <f t="shared" si="128"/>
        <v>4965944383.3715715</v>
      </c>
      <c r="O333" s="33">
        <f t="shared" si="128"/>
        <v>5459048593.8562031</v>
      </c>
      <c r="P333" s="33">
        <f t="shared" si="128"/>
        <v>6001900112.5963125</v>
      </c>
      <c r="Q333" s="33">
        <f t="shared" si="128"/>
        <v>6599418983.319725</v>
      </c>
      <c r="R333" s="33">
        <f t="shared" si="128"/>
        <v>7257024099.5521545</v>
      </c>
      <c r="S333" s="33">
        <f t="shared" si="128"/>
        <v>7980682232.7249613</v>
      </c>
      <c r="T333" s="33">
        <f t="shared" si="128"/>
        <v>8776962070.3521252</v>
      </c>
    </row>
    <row r="334" spans="1:20" ht="13.5" thickBot="1" x14ac:dyDescent="0.35">
      <c r="C334" s="14" t="s">
        <v>222</v>
      </c>
      <c r="D334" s="14"/>
      <c r="E334" s="14"/>
      <c r="F334" s="14"/>
      <c r="G334" s="14"/>
      <c r="H334" s="14"/>
      <c r="I334" s="56">
        <f>I332-I333</f>
        <v>1190330303.5500312</v>
      </c>
      <c r="J334" s="56">
        <f t="shared" ref="J334:T334" si="129">J332-J333</f>
        <v>806071086.80130529</v>
      </c>
      <c r="K334" s="56">
        <f t="shared" si="129"/>
        <v>1579952239.4920807</v>
      </c>
      <c r="L334" s="56">
        <f t="shared" si="129"/>
        <v>1078315384.0636816</v>
      </c>
      <c r="M334" s="56">
        <f t="shared" si="129"/>
        <v>1090605083.9566202</v>
      </c>
      <c r="N334" s="56">
        <f t="shared" si="129"/>
        <v>1203655219.4122267</v>
      </c>
      <c r="O334" s="56">
        <f t="shared" si="129"/>
        <v>1327510969.2059765</v>
      </c>
      <c r="P334" s="56">
        <f t="shared" si="129"/>
        <v>1463315406.7720852</v>
      </c>
      <c r="Q334" s="56">
        <f t="shared" si="129"/>
        <v>1612318087.9855127</v>
      </c>
      <c r="R334" s="56">
        <f t="shared" si="129"/>
        <v>1775886678.8836079</v>
      </c>
      <c r="S334" s="56">
        <f t="shared" si="129"/>
        <v>1955519623.5543776</v>
      </c>
      <c r="T334" s="56">
        <f t="shared" si="129"/>
        <v>2152859971.5551491</v>
      </c>
    </row>
    <row r="335" spans="1:20" x14ac:dyDescent="0.3">
      <c r="B335" s="6" t="s">
        <v>225</v>
      </c>
      <c r="I335" s="33">
        <f t="shared" ref="I335:T335" si="130">I307</f>
        <v>0</v>
      </c>
      <c r="J335" s="33">
        <f t="shared" si="130"/>
        <v>25464384.059999999</v>
      </c>
      <c r="K335" s="33">
        <f t="shared" si="130"/>
        <v>111089044.38</v>
      </c>
      <c r="L335" s="33">
        <f t="shared" si="130"/>
        <v>129358336.3</v>
      </c>
      <c r="M335" s="33">
        <f t="shared" si="130"/>
        <v>134234379.91005492</v>
      </c>
      <c r="N335" s="33">
        <f t="shared" si="130"/>
        <v>138636215.60481241</v>
      </c>
      <c r="O335" s="33">
        <f t="shared" si="130"/>
        <v>144607508.6003195</v>
      </c>
      <c r="P335" s="33">
        <f t="shared" si="130"/>
        <v>152163848.45528948</v>
      </c>
      <c r="Q335" s="33">
        <f t="shared" si="130"/>
        <v>161340077.85944685</v>
      </c>
      <c r="R335" s="33">
        <f t="shared" si="130"/>
        <v>172190003.08872122</v>
      </c>
      <c r="S335" s="33">
        <f t="shared" si="130"/>
        <v>184786352.74948895</v>
      </c>
      <c r="T335" s="33">
        <f t="shared" si="130"/>
        <v>199220974.93697295</v>
      </c>
    </row>
    <row r="336" spans="1:20" ht="13.5" thickBot="1" x14ac:dyDescent="0.35">
      <c r="C336" s="14" t="s">
        <v>236</v>
      </c>
      <c r="D336" s="14"/>
      <c r="E336" s="14"/>
      <c r="F336" s="14"/>
      <c r="G336" s="14"/>
      <c r="H336" s="14"/>
      <c r="I336" s="56">
        <f>I334-I335</f>
        <v>1190330303.5500312</v>
      </c>
      <c r="J336" s="56">
        <f t="shared" ref="J336:T336" si="131">J334-J335</f>
        <v>780606702.74130535</v>
      </c>
      <c r="K336" s="56">
        <f t="shared" si="131"/>
        <v>1468863195.1120806</v>
      </c>
      <c r="L336" s="56">
        <f t="shared" si="131"/>
        <v>948957047.76368165</v>
      </c>
      <c r="M336" s="56">
        <f t="shared" si="131"/>
        <v>956370704.04656529</v>
      </c>
      <c r="N336" s="56">
        <f t="shared" si="131"/>
        <v>1065019003.8074143</v>
      </c>
      <c r="O336" s="56">
        <f t="shared" si="131"/>
        <v>1182903460.6056571</v>
      </c>
      <c r="P336" s="56">
        <f t="shared" si="131"/>
        <v>1311151558.3167958</v>
      </c>
      <c r="Q336" s="56">
        <f t="shared" si="131"/>
        <v>1450978010.126066</v>
      </c>
      <c r="R336" s="56">
        <f t="shared" si="131"/>
        <v>1603696675.7948866</v>
      </c>
      <c r="S336" s="56">
        <f t="shared" si="131"/>
        <v>1770733270.8048887</v>
      </c>
      <c r="T336" s="56">
        <f t="shared" si="131"/>
        <v>1953638996.6181762</v>
      </c>
    </row>
    <row r="337" spans="1:20" x14ac:dyDescent="0.3">
      <c r="B337" s="25" t="s">
        <v>237</v>
      </c>
      <c r="I337" s="33">
        <f>I327</f>
        <v>0</v>
      </c>
      <c r="J337" s="33">
        <f t="shared" ref="J337:T337" si="132">J327</f>
        <v>0</v>
      </c>
      <c r="K337" s="33">
        <f t="shared" si="132"/>
        <v>0</v>
      </c>
      <c r="L337" s="33">
        <f t="shared" si="132"/>
        <v>0</v>
      </c>
      <c r="M337" s="33">
        <f t="shared" si="132"/>
        <v>0</v>
      </c>
      <c r="N337" s="33">
        <f t="shared" si="132"/>
        <v>0</v>
      </c>
      <c r="O337" s="33">
        <f t="shared" si="132"/>
        <v>0</v>
      </c>
      <c r="P337" s="33">
        <f t="shared" si="132"/>
        <v>0</v>
      </c>
      <c r="Q337" s="33">
        <f t="shared" si="132"/>
        <v>0</v>
      </c>
      <c r="R337" s="33">
        <f t="shared" si="132"/>
        <v>0</v>
      </c>
      <c r="S337" s="33">
        <f t="shared" si="132"/>
        <v>0</v>
      </c>
      <c r="T337" s="33">
        <f t="shared" si="132"/>
        <v>0</v>
      </c>
    </row>
    <row r="338" spans="1:20" x14ac:dyDescent="0.3">
      <c r="B338" s="25" t="s">
        <v>247</v>
      </c>
      <c r="I338" s="33">
        <f>I324</f>
        <v>0</v>
      </c>
      <c r="J338" s="33">
        <f t="shared" ref="J338:T338" si="133">J324</f>
        <v>0</v>
      </c>
      <c r="K338" s="33">
        <f t="shared" si="133"/>
        <v>0</v>
      </c>
      <c r="L338" s="33">
        <f t="shared" si="133"/>
        <v>0</v>
      </c>
      <c r="M338" s="33">
        <f t="shared" si="133"/>
        <v>0</v>
      </c>
      <c r="N338" s="33">
        <f t="shared" si="133"/>
        <v>0</v>
      </c>
      <c r="O338" s="33">
        <f t="shared" si="133"/>
        <v>0</v>
      </c>
      <c r="P338" s="33">
        <f t="shared" si="133"/>
        <v>0</v>
      </c>
      <c r="Q338" s="33">
        <f t="shared" si="133"/>
        <v>0</v>
      </c>
      <c r="R338" s="33">
        <f t="shared" si="133"/>
        <v>0</v>
      </c>
      <c r="S338" s="33">
        <f t="shared" si="133"/>
        <v>0</v>
      </c>
      <c r="T338" s="33">
        <f t="shared" si="133"/>
        <v>0</v>
      </c>
    </row>
    <row r="339" spans="1:20" x14ac:dyDescent="0.3">
      <c r="B339" s="25" t="s">
        <v>250</v>
      </c>
      <c r="I339" s="33">
        <f t="shared" ref="I339:T339" si="134">I213</f>
        <v>6664637.0599999996</v>
      </c>
      <c r="J339" s="33">
        <f t="shared" si="134"/>
        <v>-7346418.3399999999</v>
      </c>
      <c r="K339" s="33">
        <f t="shared" si="134"/>
        <v>-22523321.229999997</v>
      </c>
      <c r="L339" s="33">
        <f t="shared" si="134"/>
        <v>-108478965.97</v>
      </c>
      <c r="M339" s="33">
        <f t="shared" si="134"/>
        <v>-33682943.189999998</v>
      </c>
      <c r="N339" s="33">
        <f t="shared" si="134"/>
        <v>-33682943.189999998</v>
      </c>
      <c r="O339" s="33">
        <f t="shared" si="134"/>
        <v>-33682943.189999998</v>
      </c>
      <c r="P339" s="33">
        <f t="shared" si="134"/>
        <v>-33682943.189999998</v>
      </c>
      <c r="Q339" s="33">
        <f t="shared" si="134"/>
        <v>-33682943.189999998</v>
      </c>
      <c r="R339" s="33">
        <f t="shared" si="134"/>
        <v>-33682943.189999998</v>
      </c>
      <c r="S339" s="33">
        <f t="shared" si="134"/>
        <v>-33682943.189999998</v>
      </c>
      <c r="T339" s="33">
        <f t="shared" si="134"/>
        <v>-33682943.189999998</v>
      </c>
    </row>
    <row r="340" spans="1:20" ht="13.5" thickBot="1" x14ac:dyDescent="0.35">
      <c r="C340" s="14" t="s">
        <v>238</v>
      </c>
      <c r="D340" s="14"/>
      <c r="E340" s="14"/>
      <c r="F340" s="14"/>
      <c r="G340" s="14"/>
      <c r="H340" s="14"/>
      <c r="I340" s="56">
        <f>I336-I337+I338+I339</f>
        <v>1196994940.6100311</v>
      </c>
      <c r="J340" s="56">
        <f t="shared" ref="J340:T340" si="135">J336-J337+J338+J339</f>
        <v>773260284.40130532</v>
      </c>
      <c r="K340" s="56">
        <f t="shared" si="135"/>
        <v>1446339873.8820806</v>
      </c>
      <c r="L340" s="56">
        <f t="shared" si="135"/>
        <v>840478081.79368162</v>
      </c>
      <c r="M340" s="56">
        <f t="shared" si="135"/>
        <v>922687760.85656524</v>
      </c>
      <c r="N340" s="56">
        <f t="shared" si="135"/>
        <v>1031336060.6174142</v>
      </c>
      <c r="O340" s="56">
        <f t="shared" si="135"/>
        <v>1149220517.415657</v>
      </c>
      <c r="P340" s="56">
        <f t="shared" si="135"/>
        <v>1277468615.1267958</v>
      </c>
      <c r="Q340" s="56">
        <f t="shared" si="135"/>
        <v>1417295066.9360659</v>
      </c>
      <c r="R340" s="56">
        <f t="shared" si="135"/>
        <v>1570013732.6048865</v>
      </c>
      <c r="S340" s="56">
        <f t="shared" si="135"/>
        <v>1737050327.6148887</v>
      </c>
      <c r="T340" s="56">
        <f t="shared" si="135"/>
        <v>1919956053.4281762</v>
      </c>
    </row>
    <row r="341" spans="1:20" x14ac:dyDescent="0.3">
      <c r="B341" s="6" t="s">
        <v>239</v>
      </c>
      <c r="I341" s="33">
        <f t="shared" ref="I341:T341" si="136">IF(I3,I202,I340*I330)</f>
        <v>85900300</v>
      </c>
      <c r="J341" s="33">
        <f t="shared" si="136"/>
        <v>77359000</v>
      </c>
      <c r="K341" s="33">
        <f t="shared" si="136"/>
        <v>108336134.38</v>
      </c>
      <c r="L341" s="33">
        <f t="shared" si="136"/>
        <v>62029953.939999998</v>
      </c>
      <c r="M341" s="33">
        <f t="shared" si="136"/>
        <v>92268776.085656524</v>
      </c>
      <c r="N341" s="33">
        <f t="shared" si="136"/>
        <v>103133606.06174143</v>
      </c>
      <c r="O341" s="33">
        <f t="shared" si="136"/>
        <v>114922051.7415657</v>
      </c>
      <c r="P341" s="33">
        <f t="shared" si="136"/>
        <v>127746861.51267958</v>
      </c>
      <c r="Q341" s="33">
        <f t="shared" si="136"/>
        <v>141729506.69360659</v>
      </c>
      <c r="R341" s="33">
        <f t="shared" si="136"/>
        <v>157001373.26048866</v>
      </c>
      <c r="S341" s="33">
        <f t="shared" si="136"/>
        <v>173705032.76148888</v>
      </c>
      <c r="T341" s="33">
        <f t="shared" si="136"/>
        <v>191995605.34281763</v>
      </c>
    </row>
    <row r="342" spans="1:20" x14ac:dyDescent="0.3">
      <c r="C342" s="6" t="s">
        <v>240</v>
      </c>
      <c r="I342" s="33">
        <f>I340-I341</f>
        <v>1111094640.6100311</v>
      </c>
      <c r="J342" s="33">
        <f t="shared" ref="J342:T342" si="137">J340-J341</f>
        <v>695901284.40130532</v>
      </c>
      <c r="K342" s="33">
        <f t="shared" si="137"/>
        <v>1338003739.5020804</v>
      </c>
      <c r="L342" s="33">
        <f t="shared" si="137"/>
        <v>778448127.85368156</v>
      </c>
      <c r="M342" s="33">
        <f t="shared" si="137"/>
        <v>830418984.77090871</v>
      </c>
      <c r="N342" s="33">
        <f t="shared" si="137"/>
        <v>928202454.55567276</v>
      </c>
      <c r="O342" s="33">
        <f t="shared" si="137"/>
        <v>1034298465.6740913</v>
      </c>
      <c r="P342" s="33">
        <f t="shared" si="137"/>
        <v>1149721753.6141162</v>
      </c>
      <c r="Q342" s="33">
        <f t="shared" si="137"/>
        <v>1275565560.2424593</v>
      </c>
      <c r="R342" s="33">
        <f t="shared" si="137"/>
        <v>1413012359.3443978</v>
      </c>
      <c r="S342" s="33">
        <f t="shared" si="137"/>
        <v>1563345294.8533998</v>
      </c>
      <c r="T342" s="33">
        <f t="shared" si="137"/>
        <v>1727960448.0853586</v>
      </c>
    </row>
    <row r="343" spans="1:20" x14ac:dyDescent="0.3"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</row>
    <row r="344" spans="1:20" x14ac:dyDescent="0.3">
      <c r="A344" s="7" t="s">
        <v>242</v>
      </c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</row>
    <row r="345" spans="1:20" x14ac:dyDescent="0.3">
      <c r="B345" s="6" t="s">
        <v>222</v>
      </c>
      <c r="I345" s="33">
        <f>I334</f>
        <v>1190330303.5500312</v>
      </c>
      <c r="J345" s="33">
        <f t="shared" ref="J345:T345" si="138">J334</f>
        <v>806071086.80130529</v>
      </c>
      <c r="K345" s="33">
        <f t="shared" si="138"/>
        <v>1579952239.4920807</v>
      </c>
      <c r="L345" s="33">
        <f t="shared" si="138"/>
        <v>1078315384.0636816</v>
      </c>
      <c r="M345" s="33">
        <f t="shared" si="138"/>
        <v>1090605083.9566202</v>
      </c>
      <c r="N345" s="33">
        <f t="shared" si="138"/>
        <v>1203655219.4122267</v>
      </c>
      <c r="O345" s="33">
        <f t="shared" si="138"/>
        <v>1327510969.2059765</v>
      </c>
      <c r="P345" s="33">
        <f t="shared" si="138"/>
        <v>1463315406.7720852</v>
      </c>
      <c r="Q345" s="33">
        <f t="shared" si="138"/>
        <v>1612318087.9855127</v>
      </c>
      <c r="R345" s="33">
        <f t="shared" si="138"/>
        <v>1775886678.8836079</v>
      </c>
      <c r="S345" s="33">
        <f t="shared" si="138"/>
        <v>1955519623.5543776</v>
      </c>
      <c r="T345" s="33">
        <f t="shared" si="138"/>
        <v>2152859971.5551491</v>
      </c>
    </row>
    <row r="346" spans="1:20" x14ac:dyDescent="0.3">
      <c r="B346" s="6" t="s">
        <v>239</v>
      </c>
      <c r="I346" s="33">
        <f>I341</f>
        <v>85900300</v>
      </c>
      <c r="J346" s="33">
        <f t="shared" ref="J346:T346" si="139">J341</f>
        <v>77359000</v>
      </c>
      <c r="K346" s="33">
        <f t="shared" si="139"/>
        <v>108336134.38</v>
      </c>
      <c r="L346" s="33">
        <f t="shared" si="139"/>
        <v>62029953.939999998</v>
      </c>
      <c r="M346" s="33">
        <f t="shared" si="139"/>
        <v>92268776.085656524</v>
      </c>
      <c r="N346" s="33">
        <f t="shared" si="139"/>
        <v>103133606.06174143</v>
      </c>
      <c r="O346" s="33">
        <f t="shared" si="139"/>
        <v>114922051.7415657</v>
      </c>
      <c r="P346" s="33">
        <f t="shared" si="139"/>
        <v>127746861.51267958</v>
      </c>
      <c r="Q346" s="33">
        <f t="shared" si="139"/>
        <v>141729506.69360659</v>
      </c>
      <c r="R346" s="33">
        <f t="shared" si="139"/>
        <v>157001373.26048866</v>
      </c>
      <c r="S346" s="33">
        <f t="shared" si="139"/>
        <v>173705032.76148888</v>
      </c>
      <c r="T346" s="33">
        <f t="shared" si="139"/>
        <v>191995605.34281763</v>
      </c>
    </row>
    <row r="347" spans="1:20" x14ac:dyDescent="0.3">
      <c r="B347" s="6" t="s">
        <v>243</v>
      </c>
      <c r="I347" s="33">
        <f t="shared" ref="I347:T347" si="140">I302</f>
        <v>0</v>
      </c>
      <c r="J347" s="33">
        <f t="shared" si="140"/>
        <v>55666625.893015385</v>
      </c>
      <c r="K347" s="33">
        <f t="shared" si="140"/>
        <v>410294098.15677595</v>
      </c>
      <c r="L347" s="33">
        <f t="shared" si="140"/>
        <v>-937537856.40600538</v>
      </c>
      <c r="M347" s="33">
        <f t="shared" si="140"/>
        <v>190742033.70146441</v>
      </c>
      <c r="N347" s="33">
        <f t="shared" si="140"/>
        <v>169964936.55010676</v>
      </c>
      <c r="O347" s="33">
        <f t="shared" si="140"/>
        <v>186961430.2051177</v>
      </c>
      <c r="P347" s="33">
        <f t="shared" si="140"/>
        <v>205657573.22562885</v>
      </c>
      <c r="Q347" s="33">
        <f t="shared" si="140"/>
        <v>226223330.5481925</v>
      </c>
      <c r="R347" s="33">
        <f t="shared" si="140"/>
        <v>248845663.60301113</v>
      </c>
      <c r="S347" s="33">
        <f t="shared" si="140"/>
        <v>273730229.96331167</v>
      </c>
      <c r="T347" s="33">
        <f t="shared" si="140"/>
        <v>301103252.95964432</v>
      </c>
    </row>
    <row r="348" spans="1:20" x14ac:dyDescent="0.3">
      <c r="B348" s="25" t="s">
        <v>244</v>
      </c>
      <c r="I348" s="33">
        <f t="shared" ref="I348:T348" si="141">I310</f>
        <v>0</v>
      </c>
      <c r="J348" s="33">
        <f t="shared" si="141"/>
        <v>219263835.04000002</v>
      </c>
      <c r="K348" s="33">
        <f t="shared" si="141"/>
        <v>107875748.44720006</v>
      </c>
      <c r="L348" s="33">
        <f t="shared" si="141"/>
        <v>168312333.91000003</v>
      </c>
      <c r="M348" s="33">
        <f t="shared" si="141"/>
        <v>169400000</v>
      </c>
      <c r="N348" s="33">
        <f t="shared" si="141"/>
        <v>186340000.00000003</v>
      </c>
      <c r="O348" s="33">
        <f t="shared" si="141"/>
        <v>204974000.00000006</v>
      </c>
      <c r="P348" s="33">
        <f t="shared" si="141"/>
        <v>225471400.00000009</v>
      </c>
      <c r="Q348" s="33">
        <f t="shared" si="141"/>
        <v>248018540.00000012</v>
      </c>
      <c r="R348" s="33">
        <f t="shared" si="141"/>
        <v>272820394.00000018</v>
      </c>
      <c r="S348" s="33">
        <f t="shared" si="141"/>
        <v>300102433.40000021</v>
      </c>
      <c r="T348" s="33">
        <f t="shared" si="141"/>
        <v>330112676.74000025</v>
      </c>
    </row>
    <row r="349" spans="1:20" ht="13.5" thickBot="1" x14ac:dyDescent="0.35">
      <c r="C349" s="14" t="s">
        <v>245</v>
      </c>
      <c r="D349" s="14"/>
      <c r="E349" s="14"/>
      <c r="F349" s="14"/>
      <c r="G349" s="14"/>
      <c r="H349" s="14"/>
      <c r="I349" s="56">
        <f>I345-I346-I347-I348</f>
        <v>1104430003.5500312</v>
      </c>
      <c r="J349" s="56">
        <f t="shared" ref="J349:T349" si="142">J345-J346-J347-J348</f>
        <v>453781625.86828989</v>
      </c>
      <c r="K349" s="56">
        <f t="shared" si="142"/>
        <v>953446258.50810456</v>
      </c>
      <c r="L349" s="56">
        <f t="shared" si="142"/>
        <v>1785510952.6196868</v>
      </c>
      <c r="M349" s="56">
        <f t="shared" si="142"/>
        <v>638194274.16949928</v>
      </c>
      <c r="N349" s="56">
        <f t="shared" si="142"/>
        <v>744216676.80037856</v>
      </c>
      <c r="O349" s="56">
        <f t="shared" si="142"/>
        <v>820653487.25929308</v>
      </c>
      <c r="P349" s="56">
        <f t="shared" si="142"/>
        <v>904439572.03377664</v>
      </c>
      <c r="Q349" s="56">
        <f t="shared" si="142"/>
        <v>996346710.7437135</v>
      </c>
      <c r="R349" s="56">
        <f t="shared" si="142"/>
        <v>1097219248.0201077</v>
      </c>
      <c r="S349" s="56">
        <f t="shared" si="142"/>
        <v>1207981927.4295769</v>
      </c>
      <c r="T349" s="56">
        <f t="shared" si="142"/>
        <v>1329648436.512687</v>
      </c>
    </row>
    <row r="350" spans="1:20" x14ac:dyDescent="0.3">
      <c r="B350" s="25" t="s">
        <v>246</v>
      </c>
      <c r="I350" s="33">
        <f>I337</f>
        <v>0</v>
      </c>
      <c r="J350" s="33">
        <f t="shared" ref="J350:T350" si="143">J337</f>
        <v>0</v>
      </c>
      <c r="K350" s="33">
        <f t="shared" si="143"/>
        <v>0</v>
      </c>
      <c r="L350" s="33">
        <f t="shared" si="143"/>
        <v>0</v>
      </c>
      <c r="M350" s="33">
        <f t="shared" si="143"/>
        <v>0</v>
      </c>
      <c r="N350" s="33">
        <f t="shared" si="143"/>
        <v>0</v>
      </c>
      <c r="O350" s="33">
        <f t="shared" si="143"/>
        <v>0</v>
      </c>
      <c r="P350" s="33">
        <f t="shared" si="143"/>
        <v>0</v>
      </c>
      <c r="Q350" s="33">
        <f t="shared" si="143"/>
        <v>0</v>
      </c>
      <c r="R350" s="33">
        <f t="shared" si="143"/>
        <v>0</v>
      </c>
      <c r="S350" s="33">
        <f t="shared" si="143"/>
        <v>0</v>
      </c>
      <c r="T350" s="33">
        <f t="shared" si="143"/>
        <v>0</v>
      </c>
    </row>
    <row r="351" spans="1:20" x14ac:dyDescent="0.3">
      <c r="B351" s="25" t="s">
        <v>247</v>
      </c>
      <c r="I351" s="33">
        <f>I338</f>
        <v>0</v>
      </c>
      <c r="J351" s="33">
        <f t="shared" ref="J351:T351" si="144">J338</f>
        <v>0</v>
      </c>
      <c r="K351" s="33">
        <f t="shared" si="144"/>
        <v>0</v>
      </c>
      <c r="L351" s="33">
        <f t="shared" si="144"/>
        <v>0</v>
      </c>
      <c r="M351" s="33">
        <f t="shared" si="144"/>
        <v>0</v>
      </c>
      <c r="N351" s="33">
        <f t="shared" si="144"/>
        <v>0</v>
      </c>
      <c r="O351" s="33">
        <f t="shared" si="144"/>
        <v>0</v>
      </c>
      <c r="P351" s="33">
        <f t="shared" si="144"/>
        <v>0</v>
      </c>
      <c r="Q351" s="33">
        <f t="shared" si="144"/>
        <v>0</v>
      </c>
      <c r="R351" s="33">
        <f t="shared" si="144"/>
        <v>0</v>
      </c>
      <c r="S351" s="33">
        <f t="shared" si="144"/>
        <v>0</v>
      </c>
      <c r="T351" s="33">
        <f t="shared" si="144"/>
        <v>0</v>
      </c>
    </row>
    <row r="352" spans="1:20" x14ac:dyDescent="0.3">
      <c r="B352" s="25" t="s">
        <v>267</v>
      </c>
      <c r="I352" s="33">
        <f>I339</f>
        <v>6664637.0599999996</v>
      </c>
      <c r="J352" s="33">
        <f t="shared" ref="J352:T352" si="145">J339</f>
        <v>-7346418.3399999999</v>
      </c>
      <c r="K352" s="33">
        <f t="shared" si="145"/>
        <v>-22523321.229999997</v>
      </c>
      <c r="L352" s="33">
        <f t="shared" si="145"/>
        <v>-108478965.97</v>
      </c>
      <c r="M352" s="33">
        <f t="shared" si="145"/>
        <v>-33682943.189999998</v>
      </c>
      <c r="N352" s="33">
        <f t="shared" si="145"/>
        <v>-33682943.189999998</v>
      </c>
      <c r="O352" s="33">
        <f t="shared" si="145"/>
        <v>-33682943.189999998</v>
      </c>
      <c r="P352" s="33">
        <f t="shared" si="145"/>
        <v>-33682943.189999998</v>
      </c>
      <c r="Q352" s="33">
        <f t="shared" si="145"/>
        <v>-33682943.189999998</v>
      </c>
      <c r="R352" s="33">
        <f t="shared" si="145"/>
        <v>-33682943.189999998</v>
      </c>
      <c r="S352" s="33">
        <f t="shared" si="145"/>
        <v>-33682943.189999998</v>
      </c>
      <c r="T352" s="33">
        <f t="shared" si="145"/>
        <v>-33682943.189999998</v>
      </c>
    </row>
    <row r="353" spans="1:20" ht="13.5" thickBot="1" x14ac:dyDescent="0.35">
      <c r="C353" s="14" t="s">
        <v>248</v>
      </c>
      <c r="D353" s="14"/>
      <c r="E353" s="14"/>
      <c r="F353" s="14"/>
      <c r="G353" s="14"/>
      <c r="H353" s="14"/>
      <c r="I353" s="56">
        <f>I349-I350+I351+I352</f>
        <v>1111094640.6100311</v>
      </c>
      <c r="J353" s="56">
        <f t="shared" ref="J353:T353" si="146">J349-J350+J351+J352</f>
        <v>446435207.52828991</v>
      </c>
      <c r="K353" s="56">
        <f t="shared" si="146"/>
        <v>930922937.27810454</v>
      </c>
      <c r="L353" s="56">
        <f t="shared" si="146"/>
        <v>1677031986.6496868</v>
      </c>
      <c r="M353" s="56">
        <f t="shared" si="146"/>
        <v>604511330.97949934</v>
      </c>
      <c r="N353" s="56">
        <f t="shared" si="146"/>
        <v>710533733.6103785</v>
      </c>
      <c r="O353" s="56">
        <f t="shared" si="146"/>
        <v>786970544.06929302</v>
      </c>
      <c r="P353" s="56">
        <f t="shared" si="146"/>
        <v>870756628.8437767</v>
      </c>
      <c r="Q353" s="56">
        <f t="shared" si="146"/>
        <v>962663767.55371356</v>
      </c>
      <c r="R353" s="56">
        <f t="shared" si="146"/>
        <v>1063536304.8301077</v>
      </c>
      <c r="S353" s="56">
        <f t="shared" si="146"/>
        <v>1174298984.2395768</v>
      </c>
      <c r="T353" s="56">
        <f t="shared" si="146"/>
        <v>1295965493.3226869</v>
      </c>
    </row>
    <row r="354" spans="1:20" x14ac:dyDescent="0.3">
      <c r="B354" s="6" t="s">
        <v>252</v>
      </c>
      <c r="C354" s="6" t="s">
        <v>266</v>
      </c>
      <c r="I354" s="33">
        <f t="shared" ref="I354:T354" si="147">I318</f>
        <v>94228324.520002559</v>
      </c>
      <c r="J354" s="33">
        <f t="shared" si="147"/>
        <v>625472406.55000007</v>
      </c>
      <c r="K354" s="33">
        <f t="shared" si="147"/>
        <v>-486401498.31000423</v>
      </c>
      <c r="L354" s="33">
        <f t="shared" si="147"/>
        <v>-34263504.729997814</v>
      </c>
      <c r="M354" s="33">
        <f t="shared" si="147"/>
        <v>-30773920.681351572</v>
      </c>
      <c r="N354" s="33">
        <f t="shared" si="147"/>
        <v>16826180.73486492</v>
      </c>
      <c r="O354" s="33">
        <f t="shared" si="147"/>
        <v>18508798.808351427</v>
      </c>
      <c r="P354" s="33">
        <f t="shared" si="147"/>
        <v>20359678.689186543</v>
      </c>
      <c r="Q354" s="33">
        <f t="shared" si="147"/>
        <v>22395646.558105201</v>
      </c>
      <c r="R354" s="33">
        <f t="shared" si="147"/>
        <v>24635211.213915765</v>
      </c>
      <c r="S354" s="33">
        <f t="shared" si="147"/>
        <v>27098732.3353073</v>
      </c>
      <c r="T354" s="33">
        <f t="shared" si="147"/>
        <v>29808605.56883806</v>
      </c>
    </row>
    <row r="355" spans="1:20" x14ac:dyDescent="0.3">
      <c r="B355" s="6" t="s">
        <v>249</v>
      </c>
      <c r="I355" s="33">
        <f>I353-I354</f>
        <v>1016866316.0900285</v>
      </c>
      <c r="J355" s="33">
        <f>J353-J354</f>
        <v>-179037199.02171016</v>
      </c>
      <c r="K355" s="33">
        <f t="shared" ref="K355:T355" si="148">K353-K354</f>
        <v>1417324435.5881088</v>
      </c>
      <c r="L355" s="33">
        <f t="shared" si="148"/>
        <v>1711295491.3796847</v>
      </c>
      <c r="M355" s="33">
        <f t="shared" si="148"/>
        <v>635285251.66085088</v>
      </c>
      <c r="N355" s="33">
        <f t="shared" si="148"/>
        <v>693707552.87551355</v>
      </c>
      <c r="O355" s="33">
        <f t="shared" si="148"/>
        <v>768461745.26094162</v>
      </c>
      <c r="P355" s="33">
        <f t="shared" si="148"/>
        <v>850396950.15459013</v>
      </c>
      <c r="Q355" s="33">
        <f t="shared" si="148"/>
        <v>940268120.99560833</v>
      </c>
      <c r="R355" s="33">
        <f t="shared" si="148"/>
        <v>1038901093.6161919</v>
      </c>
      <c r="S355" s="33">
        <f t="shared" si="148"/>
        <v>1147200251.9042695</v>
      </c>
      <c r="T355" s="33">
        <f t="shared" si="148"/>
        <v>1266156887.7538488</v>
      </c>
    </row>
    <row r="356" spans="1:20" ht="13.5" thickBot="1" x14ac:dyDescent="0.35">
      <c r="C356" s="14" t="s">
        <v>233</v>
      </c>
      <c r="D356" s="14"/>
      <c r="E356" s="14"/>
      <c r="F356" s="14"/>
      <c r="G356" s="14"/>
      <c r="H356" s="14"/>
      <c r="I356" s="56">
        <f>I355</f>
        <v>1016866316.0900285</v>
      </c>
      <c r="J356" s="56">
        <f t="shared" ref="J356:T356" si="149">J355</f>
        <v>-179037199.02171016</v>
      </c>
      <c r="K356" s="56">
        <f t="shared" si="149"/>
        <v>1417324435.5881088</v>
      </c>
      <c r="L356" s="56">
        <f t="shared" si="149"/>
        <v>1711295491.3796847</v>
      </c>
      <c r="M356" s="56">
        <f t="shared" si="149"/>
        <v>635285251.66085088</v>
      </c>
      <c r="N356" s="56">
        <f t="shared" si="149"/>
        <v>693707552.87551355</v>
      </c>
      <c r="O356" s="56">
        <f t="shared" si="149"/>
        <v>768461745.26094162</v>
      </c>
      <c r="P356" s="56">
        <f t="shared" si="149"/>
        <v>850396950.15459013</v>
      </c>
      <c r="Q356" s="56">
        <f t="shared" si="149"/>
        <v>940268120.99560833</v>
      </c>
      <c r="R356" s="56">
        <f t="shared" si="149"/>
        <v>1038901093.6161919</v>
      </c>
      <c r="S356" s="56">
        <f t="shared" si="149"/>
        <v>1147200251.9042695</v>
      </c>
      <c r="T356" s="56">
        <f t="shared" si="149"/>
        <v>1266156887.7538488</v>
      </c>
    </row>
    <row r="357" spans="1:20" x14ac:dyDescent="0.3"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</row>
    <row r="358" spans="1:20" x14ac:dyDescent="0.3">
      <c r="A358" s="7" t="s">
        <v>256</v>
      </c>
    </row>
    <row r="359" spans="1:20" x14ac:dyDescent="0.3">
      <c r="B359" s="6" t="s">
        <v>261</v>
      </c>
    </row>
    <row r="360" spans="1:20" x14ac:dyDescent="0.3">
      <c r="C360" s="6" t="s">
        <v>223</v>
      </c>
      <c r="I360" s="33">
        <f>H363</f>
        <v>0</v>
      </c>
      <c r="J360" s="33">
        <f t="shared" ref="J360:T360" si="150">I363</f>
        <v>3190722756.3275285</v>
      </c>
      <c r="K360" s="33">
        <f t="shared" si="150"/>
        <v>3795144614.8088336</v>
      </c>
      <c r="L360" s="33">
        <f t="shared" si="150"/>
        <v>3997527563.6220922</v>
      </c>
      <c r="M360" s="33">
        <f t="shared" si="150"/>
        <v>3012145735.6649117</v>
      </c>
      <c r="N360" s="33">
        <f t="shared" si="150"/>
        <v>3207279468.7749696</v>
      </c>
      <c r="O360" s="33">
        <f t="shared" si="150"/>
        <v>3441774370.4551287</v>
      </c>
      <c r="P360" s="33">
        <f t="shared" si="150"/>
        <v>3707611090.8682785</v>
      </c>
      <c r="Q360" s="33">
        <f t="shared" si="150"/>
        <v>4006935894.327805</v>
      </c>
      <c r="R360" s="33">
        <f t="shared" si="150"/>
        <v>4342233333.5746565</v>
      </c>
      <c r="S360" s="33">
        <f t="shared" si="150"/>
        <v>4716344599.3028622</v>
      </c>
      <c r="T360" s="33">
        <f t="shared" si="150"/>
        <v>5132489642.2519922</v>
      </c>
    </row>
    <row r="361" spans="1:20" x14ac:dyDescent="0.3">
      <c r="C361" s="6" t="s">
        <v>262</v>
      </c>
      <c r="I361" s="33">
        <f>I342</f>
        <v>1111094640.6100311</v>
      </c>
      <c r="J361" s="33">
        <f t="shared" ref="J361:T361" si="151">J342</f>
        <v>695901284.40130532</v>
      </c>
      <c r="K361" s="33">
        <f t="shared" si="151"/>
        <v>1338003739.5020804</v>
      </c>
      <c r="L361" s="33">
        <f t="shared" si="151"/>
        <v>778448127.85368156</v>
      </c>
      <c r="M361" s="33">
        <f t="shared" si="151"/>
        <v>830418984.77090871</v>
      </c>
      <c r="N361" s="33">
        <f t="shared" si="151"/>
        <v>928202454.55567276</v>
      </c>
      <c r="O361" s="33">
        <f t="shared" si="151"/>
        <v>1034298465.6740913</v>
      </c>
      <c r="P361" s="33">
        <f t="shared" si="151"/>
        <v>1149721753.6141162</v>
      </c>
      <c r="Q361" s="33">
        <f t="shared" si="151"/>
        <v>1275565560.2424593</v>
      </c>
      <c r="R361" s="33">
        <f t="shared" si="151"/>
        <v>1413012359.3443978</v>
      </c>
      <c r="S361" s="33">
        <f t="shared" si="151"/>
        <v>1563345294.8533998</v>
      </c>
      <c r="T361" s="33">
        <f t="shared" si="151"/>
        <v>1727960448.0853586</v>
      </c>
    </row>
    <row r="362" spans="1:20" x14ac:dyDescent="0.3">
      <c r="C362" s="6" t="s">
        <v>263</v>
      </c>
      <c r="I362" s="33">
        <f>I356</f>
        <v>1016866316.0900285</v>
      </c>
      <c r="J362" s="33">
        <f t="shared" ref="J362:T362" si="152">J356</f>
        <v>-179037199.02171016</v>
      </c>
      <c r="K362" s="33">
        <f t="shared" si="152"/>
        <v>1417324435.5881088</v>
      </c>
      <c r="L362" s="33">
        <f t="shared" si="152"/>
        <v>1711295491.3796847</v>
      </c>
      <c r="M362" s="33">
        <f t="shared" si="152"/>
        <v>635285251.66085088</v>
      </c>
      <c r="N362" s="33">
        <f t="shared" si="152"/>
        <v>693707552.87551355</v>
      </c>
      <c r="O362" s="33">
        <f t="shared" si="152"/>
        <v>768461745.26094162</v>
      </c>
      <c r="P362" s="33">
        <f t="shared" si="152"/>
        <v>850396950.15459013</v>
      </c>
      <c r="Q362" s="33">
        <f t="shared" si="152"/>
        <v>940268120.99560833</v>
      </c>
      <c r="R362" s="33">
        <f t="shared" si="152"/>
        <v>1038901093.6161919</v>
      </c>
      <c r="S362" s="33">
        <f t="shared" si="152"/>
        <v>1147200251.9042695</v>
      </c>
      <c r="T362" s="33">
        <f t="shared" si="152"/>
        <v>1266156887.7538488</v>
      </c>
    </row>
    <row r="363" spans="1:20" x14ac:dyDescent="0.3">
      <c r="C363" s="25" t="s">
        <v>226</v>
      </c>
      <c r="I363" s="33">
        <f t="shared" ref="I363:T363" si="153">IF(I3,I132,I360+I361-I362)</f>
        <v>3190722756.3275285</v>
      </c>
      <c r="J363" s="33">
        <f t="shared" si="153"/>
        <v>3795144614.8088336</v>
      </c>
      <c r="K363" s="33">
        <f t="shared" si="153"/>
        <v>3997527563.6220922</v>
      </c>
      <c r="L363" s="33">
        <f t="shared" si="153"/>
        <v>3012145735.6649117</v>
      </c>
      <c r="M363" s="33">
        <f t="shared" si="153"/>
        <v>3207279468.7749696</v>
      </c>
      <c r="N363" s="33">
        <f t="shared" si="153"/>
        <v>3441774370.4551287</v>
      </c>
      <c r="O363" s="33">
        <f t="shared" si="153"/>
        <v>3707611090.8682785</v>
      </c>
      <c r="P363" s="33">
        <f t="shared" si="153"/>
        <v>4006935894.327805</v>
      </c>
      <c r="Q363" s="33">
        <f t="shared" si="153"/>
        <v>4342233333.5746565</v>
      </c>
      <c r="R363" s="33">
        <f t="shared" si="153"/>
        <v>4716344599.3028622</v>
      </c>
      <c r="S363" s="33">
        <f t="shared" si="153"/>
        <v>5132489642.2519922</v>
      </c>
      <c r="T363" s="33">
        <f t="shared" si="153"/>
        <v>5594293202.5835018</v>
      </c>
    </row>
    <row r="364" spans="1:20" x14ac:dyDescent="0.3"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</row>
    <row r="365" spans="1:20" x14ac:dyDescent="0.3">
      <c r="B365" s="6" t="s">
        <v>43</v>
      </c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</row>
    <row r="366" spans="1:20" x14ac:dyDescent="0.3">
      <c r="C366" s="6" t="s">
        <v>227</v>
      </c>
      <c r="I366" s="33">
        <f t="shared" ref="I366:T366" si="154">I322</f>
        <v>94228324.520002559</v>
      </c>
      <c r="J366" s="33">
        <f t="shared" si="154"/>
        <v>719700731.07000268</v>
      </c>
      <c r="K366" s="33">
        <f t="shared" si="154"/>
        <v>233299232.75999841</v>
      </c>
      <c r="L366" s="33">
        <f t="shared" si="154"/>
        <v>199035728.0300006</v>
      </c>
      <c r="M366" s="33">
        <f t="shared" si="154"/>
        <v>168261807.34864902</v>
      </c>
      <c r="N366" s="33">
        <f t="shared" si="154"/>
        <v>185087988.08351395</v>
      </c>
      <c r="O366" s="33">
        <f t="shared" si="154"/>
        <v>203596786.89186537</v>
      </c>
      <c r="P366" s="33">
        <f t="shared" si="154"/>
        <v>223956465.58105192</v>
      </c>
      <c r="Q366" s="33">
        <f t="shared" si="154"/>
        <v>246352112.13915712</v>
      </c>
      <c r="R366" s="33">
        <f t="shared" si="154"/>
        <v>270987323.35307288</v>
      </c>
      <c r="S366" s="33">
        <f t="shared" si="154"/>
        <v>298086055.68838018</v>
      </c>
      <c r="T366" s="33">
        <f t="shared" si="154"/>
        <v>327894661.25721824</v>
      </c>
    </row>
    <row r="367" spans="1:20" x14ac:dyDescent="0.3">
      <c r="C367" s="6" t="s">
        <v>59</v>
      </c>
      <c r="I367" s="33">
        <f t="shared" ref="I367:T367" si="155">I293</f>
        <v>1245139764.7676899</v>
      </c>
      <c r="J367" s="33">
        <f t="shared" si="155"/>
        <v>2036003278.9981699</v>
      </c>
      <c r="K367" s="33">
        <f t="shared" si="155"/>
        <v>1472013088.9761636</v>
      </c>
      <c r="L367" s="33">
        <f t="shared" si="155"/>
        <v>614928927.08496583</v>
      </c>
      <c r="M367" s="33">
        <f t="shared" si="155"/>
        <v>676421819.7934624</v>
      </c>
      <c r="N367" s="33">
        <f t="shared" si="155"/>
        <v>744064001.77280879</v>
      </c>
      <c r="O367" s="33">
        <f t="shared" si="155"/>
        <v>818470401.95008969</v>
      </c>
      <c r="P367" s="33">
        <f t="shared" si="155"/>
        <v>900317442.14509881</v>
      </c>
      <c r="Q367" s="33">
        <f t="shared" si="155"/>
        <v>990349186.35960865</v>
      </c>
      <c r="R367" s="33">
        <f t="shared" si="155"/>
        <v>1089384104.9955695</v>
      </c>
      <c r="S367" s="33">
        <f t="shared" si="155"/>
        <v>1198322515.4951267</v>
      </c>
      <c r="T367" s="33">
        <f t="shared" si="155"/>
        <v>1318154767.0446396</v>
      </c>
    </row>
    <row r="368" spans="1:20" x14ac:dyDescent="0.3">
      <c r="C368" s="6" t="s">
        <v>167</v>
      </c>
      <c r="I368" s="33">
        <f t="shared" ref="I368:T368" si="156">I296</f>
        <v>1092132238.2381248</v>
      </c>
      <c r="J368" s="33">
        <f t="shared" si="156"/>
        <v>1614585981.0089502</v>
      </c>
      <c r="K368" s="33">
        <f t="shared" si="156"/>
        <v>1501776768.6604426</v>
      </c>
      <c r="L368" s="33">
        <f t="shared" si="156"/>
        <v>1615311080.3556349</v>
      </c>
      <c r="M368" s="33">
        <f t="shared" si="156"/>
        <v>1848848678.6592903</v>
      </c>
      <c r="N368" s="33">
        <f t="shared" si="156"/>
        <v>2033733546.5252194</v>
      </c>
      <c r="O368" s="33">
        <f t="shared" si="156"/>
        <v>2237106901.1777415</v>
      </c>
      <c r="P368" s="33">
        <f t="shared" si="156"/>
        <v>2460817591.295516</v>
      </c>
      <c r="Q368" s="33">
        <f t="shared" si="156"/>
        <v>2706899350.4250679</v>
      </c>
      <c r="R368" s="33">
        <f t="shared" si="156"/>
        <v>2977589285.4675746</v>
      </c>
      <c r="S368" s="33">
        <f t="shared" si="156"/>
        <v>3275348214.0143323</v>
      </c>
      <c r="T368" s="33">
        <f t="shared" si="156"/>
        <v>3602883035.4157658</v>
      </c>
    </row>
    <row r="369" spans="2:20" x14ac:dyDescent="0.3">
      <c r="C369" s="6" t="s">
        <v>257</v>
      </c>
      <c r="I369" s="33">
        <f t="shared" ref="I369:T369" si="157">I312</f>
        <v>842838630.71000016</v>
      </c>
      <c r="J369" s="33">
        <f t="shared" si="157"/>
        <v>1036638081.6900002</v>
      </c>
      <c r="K369" s="33">
        <f t="shared" si="157"/>
        <v>1033424785.7572002</v>
      </c>
      <c r="L369" s="33">
        <f t="shared" si="157"/>
        <v>1072378783.3672003</v>
      </c>
      <c r="M369" s="33">
        <f t="shared" si="157"/>
        <v>1107544403.4571455</v>
      </c>
      <c r="N369" s="33">
        <f t="shared" si="157"/>
        <v>1155248187.8523331</v>
      </c>
      <c r="O369" s="33">
        <f t="shared" si="157"/>
        <v>1215614679.2520137</v>
      </c>
      <c r="P369" s="33">
        <f t="shared" si="157"/>
        <v>1288922230.7967243</v>
      </c>
      <c r="Q369" s="33">
        <f t="shared" si="157"/>
        <v>1375600692.9372776</v>
      </c>
      <c r="R369" s="33">
        <f t="shared" si="157"/>
        <v>1476231083.8485565</v>
      </c>
      <c r="S369" s="33">
        <f t="shared" si="157"/>
        <v>1591547164.4990678</v>
      </c>
      <c r="T369" s="33">
        <f t="shared" si="157"/>
        <v>1722438866.3020952</v>
      </c>
    </row>
    <row r="370" spans="2:20" x14ac:dyDescent="0.3">
      <c r="C370" s="25" t="s">
        <v>258</v>
      </c>
      <c r="I370" s="33">
        <f t="shared" ref="I370:T370" si="158">IF(I3,I91+I69,H370)</f>
        <v>273171336.94171047</v>
      </c>
      <c r="J370" s="33">
        <f t="shared" si="158"/>
        <v>2654712</v>
      </c>
      <c r="K370" s="33">
        <f t="shared" si="158"/>
        <v>284358356.89928722</v>
      </c>
      <c r="L370" s="33">
        <f t="shared" si="158"/>
        <v>231823892.46811008</v>
      </c>
      <c r="M370" s="33">
        <f t="shared" si="158"/>
        <v>231823892.46811008</v>
      </c>
      <c r="N370" s="33">
        <f t="shared" si="158"/>
        <v>231823892.46811008</v>
      </c>
      <c r="O370" s="33">
        <f t="shared" si="158"/>
        <v>231823892.46811008</v>
      </c>
      <c r="P370" s="33">
        <f t="shared" si="158"/>
        <v>231823892.46811008</v>
      </c>
      <c r="Q370" s="33">
        <f t="shared" si="158"/>
        <v>231823892.46811008</v>
      </c>
      <c r="R370" s="33">
        <f t="shared" si="158"/>
        <v>231823892.46811008</v>
      </c>
      <c r="S370" s="33">
        <f t="shared" si="158"/>
        <v>231823892.46811008</v>
      </c>
      <c r="T370" s="33">
        <f t="shared" si="158"/>
        <v>231823892.46811008</v>
      </c>
    </row>
    <row r="371" spans="2:20" ht="13.5" thickBot="1" x14ac:dyDescent="0.35">
      <c r="D371" s="48" t="s">
        <v>199</v>
      </c>
      <c r="E371" s="48"/>
      <c r="F371" s="48"/>
      <c r="G371" s="48"/>
      <c r="H371" s="48"/>
      <c r="I371" s="57">
        <f>SUM(I366:I370)</f>
        <v>3547510295.1775279</v>
      </c>
      <c r="J371" s="57">
        <f t="shared" ref="J371:T371" si="159">SUM(J366:J370)</f>
        <v>5409582784.7671232</v>
      </c>
      <c r="K371" s="57">
        <f t="shared" si="159"/>
        <v>4524872233.053092</v>
      </c>
      <c r="L371" s="57">
        <f t="shared" si="159"/>
        <v>3733478411.3059115</v>
      </c>
      <c r="M371" s="57">
        <f t="shared" si="159"/>
        <v>4032900601.7266569</v>
      </c>
      <c r="N371" s="57">
        <f t="shared" si="159"/>
        <v>4349957616.7019854</v>
      </c>
      <c r="O371" s="57">
        <f t="shared" si="159"/>
        <v>4706612661.7398205</v>
      </c>
      <c r="P371" s="57">
        <f t="shared" si="159"/>
        <v>5105837622.2865009</v>
      </c>
      <c r="Q371" s="57">
        <f t="shared" si="159"/>
        <v>5551025234.3292217</v>
      </c>
      <c r="R371" s="57">
        <f t="shared" si="159"/>
        <v>6046015690.132884</v>
      </c>
      <c r="S371" s="57">
        <f t="shared" si="159"/>
        <v>6595127842.1650171</v>
      </c>
      <c r="T371" s="57">
        <f t="shared" si="159"/>
        <v>7203195222.4878292</v>
      </c>
    </row>
    <row r="372" spans="2:20" ht="13.5" thickTop="1" x14ac:dyDescent="0.3">
      <c r="D372" s="6" t="s">
        <v>265</v>
      </c>
      <c r="G372" s="6" t="b">
        <f>SUMIF(3:3,TRUE,372:372)=0</f>
        <v>1</v>
      </c>
      <c r="I372" s="11">
        <f t="shared" ref="I372:T372" si="160">I371-I95</f>
        <v>0</v>
      </c>
      <c r="J372" s="11">
        <f t="shared" si="160"/>
        <v>0</v>
      </c>
      <c r="K372" s="11">
        <f t="shared" si="160"/>
        <v>0</v>
      </c>
      <c r="L372" s="11">
        <f t="shared" si="160"/>
        <v>0</v>
      </c>
      <c r="M372" s="11">
        <f t="shared" si="160"/>
        <v>4032900601.7266569</v>
      </c>
      <c r="N372" s="11">
        <f t="shared" si="160"/>
        <v>4349957616.7019854</v>
      </c>
      <c r="O372" s="11">
        <f t="shared" si="160"/>
        <v>4706612661.7398205</v>
      </c>
      <c r="P372" s="11">
        <f t="shared" si="160"/>
        <v>5105837622.2865009</v>
      </c>
      <c r="Q372" s="11">
        <f t="shared" si="160"/>
        <v>5551025234.3292217</v>
      </c>
      <c r="R372" s="11">
        <f t="shared" si="160"/>
        <v>6046015690.132884</v>
      </c>
      <c r="S372" s="11">
        <f t="shared" si="160"/>
        <v>6595127842.1650171</v>
      </c>
      <c r="T372" s="11">
        <f t="shared" si="160"/>
        <v>7203195222.4878292</v>
      </c>
    </row>
    <row r="373" spans="2:20" x14ac:dyDescent="0.3">
      <c r="D373" s="6" t="s">
        <v>264</v>
      </c>
      <c r="I373" s="11" t="b">
        <f t="shared" ref="I373:T373" si="161">I371=I95</f>
        <v>1</v>
      </c>
      <c r="J373" s="11" t="b">
        <f t="shared" si="161"/>
        <v>1</v>
      </c>
      <c r="K373" s="11" t="b">
        <f t="shared" si="161"/>
        <v>1</v>
      </c>
      <c r="L373" s="11" t="b">
        <f t="shared" si="161"/>
        <v>1</v>
      </c>
      <c r="M373" s="11" t="b">
        <f t="shared" si="161"/>
        <v>0</v>
      </c>
      <c r="N373" s="11" t="b">
        <f t="shared" si="161"/>
        <v>0</v>
      </c>
      <c r="O373" s="11" t="b">
        <f t="shared" si="161"/>
        <v>0</v>
      </c>
      <c r="P373" s="11" t="b">
        <f t="shared" si="161"/>
        <v>0</v>
      </c>
      <c r="Q373" s="11" t="b">
        <f t="shared" si="161"/>
        <v>0</v>
      </c>
      <c r="R373" s="11" t="b">
        <f t="shared" si="161"/>
        <v>0</v>
      </c>
      <c r="S373" s="11" t="b">
        <f t="shared" si="161"/>
        <v>0</v>
      </c>
      <c r="T373" s="11" t="b">
        <f t="shared" si="161"/>
        <v>0</v>
      </c>
    </row>
    <row r="375" spans="2:20" x14ac:dyDescent="0.3">
      <c r="B375" s="6" t="s">
        <v>103</v>
      </c>
    </row>
    <row r="376" spans="2:20" x14ac:dyDescent="0.3">
      <c r="C376" s="6" t="s">
        <v>85</v>
      </c>
      <c r="I376" s="33">
        <f t="shared" ref="I376:T376" si="162">I299</f>
        <v>356787538.84999955</v>
      </c>
      <c r="J376" s="33">
        <f t="shared" si="162"/>
        <v>1614438169.9582896</v>
      </c>
      <c r="K376" s="33">
        <f t="shared" si="162"/>
        <v>527344669.43099964</v>
      </c>
      <c r="L376" s="33">
        <f t="shared" si="162"/>
        <v>721332675.64099979</v>
      </c>
      <c r="M376" s="33">
        <f t="shared" si="162"/>
        <v>825621132.9516871</v>
      </c>
      <c r="N376" s="33">
        <f t="shared" si="162"/>
        <v>908183246.24685585</v>
      </c>
      <c r="O376" s="33">
        <f t="shared" si="162"/>
        <v>999001570.87154162</v>
      </c>
      <c r="P376" s="33">
        <f t="shared" si="162"/>
        <v>1098901727.9586959</v>
      </c>
      <c r="Q376" s="33">
        <f t="shared" si="162"/>
        <v>1208791900.7545655</v>
      </c>
      <c r="R376" s="33">
        <f t="shared" si="162"/>
        <v>1329671090.8300221</v>
      </c>
      <c r="S376" s="33">
        <f t="shared" si="162"/>
        <v>1462638199.9130244</v>
      </c>
      <c r="T376" s="33">
        <f t="shared" si="162"/>
        <v>1608902019.9043269</v>
      </c>
    </row>
    <row r="377" spans="2:20" x14ac:dyDescent="0.3">
      <c r="C377" s="6" t="s">
        <v>259</v>
      </c>
      <c r="I377" s="33">
        <f>I326</f>
        <v>0</v>
      </c>
      <c r="J377" s="33">
        <f t="shared" ref="J377:T377" si="163">J326</f>
        <v>0</v>
      </c>
      <c r="K377" s="33">
        <f t="shared" si="163"/>
        <v>0</v>
      </c>
      <c r="L377" s="33">
        <f t="shared" si="163"/>
        <v>0</v>
      </c>
      <c r="M377" s="33">
        <f t="shared" si="163"/>
        <v>0</v>
      </c>
      <c r="N377" s="33">
        <f t="shared" si="163"/>
        <v>0</v>
      </c>
      <c r="O377" s="33">
        <f t="shared" si="163"/>
        <v>0</v>
      </c>
      <c r="P377" s="33">
        <f t="shared" si="163"/>
        <v>0</v>
      </c>
      <c r="Q377" s="33">
        <f t="shared" si="163"/>
        <v>0</v>
      </c>
      <c r="R377" s="33">
        <f t="shared" si="163"/>
        <v>0</v>
      </c>
      <c r="S377" s="33">
        <f t="shared" si="163"/>
        <v>0</v>
      </c>
      <c r="T377" s="33">
        <f t="shared" si="163"/>
        <v>0</v>
      </c>
    </row>
    <row r="378" spans="2:20" x14ac:dyDescent="0.3">
      <c r="C378" s="6" t="s">
        <v>260</v>
      </c>
      <c r="I378" s="33"/>
      <c r="J378" s="33"/>
      <c r="K378" s="33">
        <f t="shared" ref="K378:T378" si="164">K116</f>
        <v>0</v>
      </c>
      <c r="L378" s="33">
        <f t="shared" si="164"/>
        <v>0</v>
      </c>
      <c r="M378" s="33">
        <f t="shared" si="164"/>
        <v>0</v>
      </c>
      <c r="N378" s="33">
        <f t="shared" si="164"/>
        <v>0</v>
      </c>
      <c r="O378" s="33">
        <f t="shared" si="164"/>
        <v>0</v>
      </c>
      <c r="P378" s="33">
        <f t="shared" si="164"/>
        <v>0</v>
      </c>
      <c r="Q378" s="33">
        <f t="shared" si="164"/>
        <v>0</v>
      </c>
      <c r="R378" s="33">
        <f t="shared" si="164"/>
        <v>0</v>
      </c>
      <c r="S378" s="33">
        <f t="shared" si="164"/>
        <v>0</v>
      </c>
      <c r="T378" s="33">
        <f t="shared" si="164"/>
        <v>0</v>
      </c>
    </row>
    <row r="379" spans="2:20" x14ac:dyDescent="0.3">
      <c r="C379" s="25" t="s">
        <v>107</v>
      </c>
      <c r="I379" s="33">
        <f>I363</f>
        <v>3190722756.3275285</v>
      </c>
      <c r="J379" s="33">
        <f t="shared" ref="J379:T379" si="165">J363</f>
        <v>3795144614.8088336</v>
      </c>
      <c r="K379" s="33">
        <f t="shared" si="165"/>
        <v>3997527563.6220922</v>
      </c>
      <c r="L379" s="33">
        <f t="shared" si="165"/>
        <v>3012145735.6649117</v>
      </c>
      <c r="M379" s="33">
        <f t="shared" si="165"/>
        <v>3207279468.7749696</v>
      </c>
      <c r="N379" s="33">
        <f t="shared" si="165"/>
        <v>3441774370.4551287</v>
      </c>
      <c r="O379" s="33">
        <f t="shared" si="165"/>
        <v>3707611090.8682785</v>
      </c>
      <c r="P379" s="33">
        <f t="shared" si="165"/>
        <v>4006935894.327805</v>
      </c>
      <c r="Q379" s="33">
        <f t="shared" si="165"/>
        <v>4342233333.5746565</v>
      </c>
      <c r="R379" s="33">
        <f t="shared" si="165"/>
        <v>4716344599.3028622</v>
      </c>
      <c r="S379" s="33">
        <f t="shared" si="165"/>
        <v>5132489642.2519922</v>
      </c>
      <c r="T379" s="33">
        <f t="shared" si="165"/>
        <v>5594293202.5835018</v>
      </c>
    </row>
    <row r="380" spans="2:20" ht="13.5" thickBot="1" x14ac:dyDescent="0.35">
      <c r="C380" s="25"/>
      <c r="D380" s="48" t="s">
        <v>199</v>
      </c>
      <c r="E380" s="48"/>
      <c r="F380" s="48"/>
      <c r="G380" s="48"/>
      <c r="H380" s="48"/>
      <c r="I380" s="57">
        <f>SUM(I376:I379)</f>
        <v>3547510295.1775279</v>
      </c>
      <c r="J380" s="57">
        <f t="shared" ref="J380:T380" si="166">SUM(J376:J379)</f>
        <v>5409582784.7671232</v>
      </c>
      <c r="K380" s="57">
        <f t="shared" si="166"/>
        <v>4524872233.053092</v>
      </c>
      <c r="L380" s="57">
        <f t="shared" si="166"/>
        <v>3733478411.3059115</v>
      </c>
      <c r="M380" s="57">
        <f t="shared" si="166"/>
        <v>4032900601.7266569</v>
      </c>
      <c r="N380" s="57">
        <f t="shared" si="166"/>
        <v>4349957616.7019844</v>
      </c>
      <c r="O380" s="57">
        <f t="shared" si="166"/>
        <v>4706612661.7398205</v>
      </c>
      <c r="P380" s="57">
        <f t="shared" si="166"/>
        <v>5105837622.2865009</v>
      </c>
      <c r="Q380" s="57">
        <f t="shared" si="166"/>
        <v>5551025234.3292217</v>
      </c>
      <c r="R380" s="57">
        <f t="shared" si="166"/>
        <v>6046015690.132884</v>
      </c>
      <c r="S380" s="57">
        <f t="shared" si="166"/>
        <v>6595127842.1650162</v>
      </c>
      <c r="T380" s="57">
        <f t="shared" si="166"/>
        <v>7203195222.4878292</v>
      </c>
    </row>
    <row r="381" spans="2:20" ht="13.5" thickTop="1" x14ac:dyDescent="0.3">
      <c r="C381" s="25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</row>
    <row r="382" spans="2:20" x14ac:dyDescent="0.3">
      <c r="C382" s="25"/>
      <c r="D382" s="6" t="s">
        <v>102</v>
      </c>
      <c r="I382" s="33">
        <f>I380-I371</f>
        <v>0</v>
      </c>
      <c r="J382" s="33">
        <f t="shared" ref="J382:T382" si="167">J380-J371</f>
        <v>0</v>
      </c>
      <c r="K382" s="33">
        <f t="shared" si="167"/>
        <v>0</v>
      </c>
      <c r="L382" s="33">
        <f t="shared" si="167"/>
        <v>0</v>
      </c>
      <c r="M382" s="33">
        <f t="shared" si="167"/>
        <v>0</v>
      </c>
      <c r="N382" s="33">
        <f t="shared" si="167"/>
        <v>0</v>
      </c>
      <c r="O382" s="33">
        <f t="shared" si="167"/>
        <v>0</v>
      </c>
      <c r="P382" s="33">
        <f t="shared" si="167"/>
        <v>0</v>
      </c>
      <c r="Q382" s="33">
        <f t="shared" si="167"/>
        <v>0</v>
      </c>
      <c r="R382" s="33">
        <f t="shared" si="167"/>
        <v>0</v>
      </c>
      <c r="S382" s="33">
        <f t="shared" si="167"/>
        <v>0</v>
      </c>
      <c r="T382" s="33">
        <f t="shared" si="167"/>
        <v>0</v>
      </c>
    </row>
    <row r="383" spans="2:20" x14ac:dyDescent="0.3">
      <c r="C383" s="25"/>
      <c r="D383" s="6" t="s">
        <v>270</v>
      </c>
      <c r="G383" s="6" t="b">
        <f>AND(I383:T383)</f>
        <v>1</v>
      </c>
      <c r="I383" s="33" t="b">
        <f>I382=0</f>
        <v>1</v>
      </c>
      <c r="J383" s="33" t="b">
        <f t="shared" ref="J383:T383" si="168">J382=0</f>
        <v>1</v>
      </c>
      <c r="K383" s="33" t="b">
        <f t="shared" si="168"/>
        <v>1</v>
      </c>
      <c r="L383" s="33" t="b">
        <f t="shared" si="168"/>
        <v>1</v>
      </c>
      <c r="M383" s="33" t="b">
        <f t="shared" si="168"/>
        <v>1</v>
      </c>
      <c r="N383" s="33" t="b">
        <f t="shared" si="168"/>
        <v>1</v>
      </c>
      <c r="O383" s="33" t="b">
        <f t="shared" si="168"/>
        <v>1</v>
      </c>
      <c r="P383" s="33" t="b">
        <f t="shared" si="168"/>
        <v>1</v>
      </c>
      <c r="Q383" s="33" t="b">
        <f t="shared" si="168"/>
        <v>1</v>
      </c>
      <c r="R383" s="33" t="b">
        <f t="shared" si="168"/>
        <v>1</v>
      </c>
      <c r="S383" s="33" t="b">
        <f t="shared" si="168"/>
        <v>1</v>
      </c>
      <c r="T383" s="33" t="b">
        <f t="shared" si="168"/>
        <v>1</v>
      </c>
    </row>
    <row r="384" spans="2:20" x14ac:dyDescent="0.3">
      <c r="C384" s="25"/>
    </row>
    <row r="385" spans="1:20" x14ac:dyDescent="0.3">
      <c r="A385" s="7" t="s">
        <v>253</v>
      </c>
      <c r="I385" s="6">
        <f>I2</f>
        <v>2011</v>
      </c>
      <c r="J385" s="6">
        <f t="shared" ref="J385:T385" si="169">J2</f>
        <v>2012</v>
      </c>
      <c r="K385" s="6">
        <f t="shared" si="169"/>
        <v>2013</v>
      </c>
      <c r="L385" s="6">
        <f t="shared" si="169"/>
        <v>2014</v>
      </c>
      <c r="M385" s="6">
        <f t="shared" si="169"/>
        <v>2015</v>
      </c>
      <c r="N385" s="6">
        <f t="shared" si="169"/>
        <v>2016</v>
      </c>
      <c r="O385" s="6">
        <f t="shared" si="169"/>
        <v>2017</v>
      </c>
      <c r="P385" s="6">
        <f t="shared" si="169"/>
        <v>2018</v>
      </c>
      <c r="Q385" s="6">
        <f t="shared" si="169"/>
        <v>2019</v>
      </c>
      <c r="R385" s="6">
        <f t="shared" si="169"/>
        <v>2020</v>
      </c>
      <c r="S385" s="6">
        <f t="shared" si="169"/>
        <v>2021</v>
      </c>
      <c r="T385" s="6">
        <f t="shared" si="169"/>
        <v>2022</v>
      </c>
    </row>
    <row r="386" spans="1:20" x14ac:dyDescent="0.3">
      <c r="B386" s="6" t="s">
        <v>254</v>
      </c>
      <c r="I386" s="29">
        <f>I342/AVERAGE(H379:I379)</f>
        <v>0.34822663247899466</v>
      </c>
      <c r="J386" s="29">
        <f t="shared" ref="J386:T386" si="170">J342/AVERAGE(I379:J379)</f>
        <v>0.19923117558073708</v>
      </c>
      <c r="K386" s="29">
        <f t="shared" si="170"/>
        <v>0.34340049443000975</v>
      </c>
      <c r="L386" s="29">
        <f t="shared" si="170"/>
        <v>0.22210682142143834</v>
      </c>
      <c r="M386" s="29">
        <f t="shared" si="170"/>
        <v>0.26704042816628609</v>
      </c>
      <c r="N386" s="29">
        <f t="shared" si="170"/>
        <v>0.27919835723969721</v>
      </c>
      <c r="O386" s="29">
        <f t="shared" si="170"/>
        <v>0.28933912467565698</v>
      </c>
      <c r="P386" s="29">
        <f t="shared" si="170"/>
        <v>0.29806591516530723</v>
      </c>
      <c r="Q386" s="29">
        <f t="shared" si="170"/>
        <v>0.30555508588317737</v>
      </c>
      <c r="R386" s="29">
        <f t="shared" si="170"/>
        <v>0.31197222562185212</v>
      </c>
      <c r="S386" s="29">
        <f t="shared" si="170"/>
        <v>0.31746808942265053</v>
      </c>
      <c r="T386" s="29">
        <f t="shared" si="170"/>
        <v>0.3221768302911624</v>
      </c>
    </row>
    <row r="387" spans="1:20" x14ac:dyDescent="0.3">
      <c r="B387" s="6" t="s">
        <v>255</v>
      </c>
      <c r="I387" s="29">
        <f>I336*(1-I330)/AVERAGE(I379-I366,H379-H366)</f>
        <v>0.71362379947563503</v>
      </c>
      <c r="J387" s="29">
        <f t="shared" ref="J387:T387" si="171">J336*(1-J330)/AVERAGE(J379-J366,I379-I366)</f>
        <v>0.2275762175133039</v>
      </c>
      <c r="K387" s="29">
        <f t="shared" si="171"/>
        <v>0.39658918404255311</v>
      </c>
      <c r="L387" s="29">
        <f t="shared" si="171"/>
        <v>0.26680519170547268</v>
      </c>
      <c r="M387" s="29">
        <f t="shared" si="171"/>
        <v>0.2941609214003984</v>
      </c>
      <c r="N387" s="29">
        <f t="shared" si="171"/>
        <v>0.30449878099683975</v>
      </c>
      <c r="O387" s="29">
        <f t="shared" si="171"/>
        <v>0.31494164996680851</v>
      </c>
      <c r="P387" s="29">
        <f t="shared" si="171"/>
        <v>0.32387468571189065</v>
      </c>
      <c r="Q387" s="29">
        <f t="shared" si="171"/>
        <v>0.33148960670684074</v>
      </c>
      <c r="R387" s="29">
        <f t="shared" si="171"/>
        <v>0.33796667981048434</v>
      </c>
      <c r="S387" s="29">
        <f t="shared" si="171"/>
        <v>0.343470045690975</v>
      </c>
      <c r="T387" s="29">
        <f t="shared" si="171"/>
        <v>0.34814563728587172</v>
      </c>
    </row>
  </sheetData>
  <conditionalFormatting sqref="I3:T1048576">
    <cfRule type="expression" dxfId="2" priority="1">
      <formula>I$3</formula>
    </cfRule>
  </conditionalFormatting>
  <dataValidations count="1">
    <dataValidation type="list" allowBlank="1" showInputMessage="1" showErrorMessage="1" promptTitle="Assumption Method" prompt="1. Average of Historic Data_x000a_2. Priod Historic Value_x000a_3. Direct Input to Left" sqref="E140 E143 E147 E151 E155">
      <formula1>#REF!</formula1>
    </dataValidation>
  </dataValidations>
  <pageMargins left="0.7" right="0.13" top="0.75" bottom="0.75" header="0.3" footer="0.3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6" r:id="rId4" name="Spinner 8">
              <controlPr defaultSize="0" autoPict="0">
                <anchor moveWithCells="1" sizeWithCells="1">
                  <from>
                    <xdr:col>4</xdr:col>
                    <xdr:colOff>50800</xdr:colOff>
                    <xdr:row>139</xdr:row>
                    <xdr:rowOff>0</xdr:rowOff>
                  </from>
                  <to>
                    <xdr:col>4</xdr:col>
                    <xdr:colOff>292100</xdr:colOff>
                    <xdr:row>140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5" name="Spinner 9">
              <controlPr defaultSize="0" autoPict="0">
                <anchor moveWithCells="1" sizeWithCells="1">
                  <from>
                    <xdr:col>4</xdr:col>
                    <xdr:colOff>50800</xdr:colOff>
                    <xdr:row>142</xdr:row>
                    <xdr:rowOff>0</xdr:rowOff>
                  </from>
                  <to>
                    <xdr:col>4</xdr:col>
                    <xdr:colOff>292100</xdr:colOff>
                    <xdr:row>143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6" name="Spinner 10">
              <controlPr defaultSize="0" autoPict="0">
                <anchor moveWithCells="1" sizeWithCells="1">
                  <from>
                    <xdr:col>4</xdr:col>
                    <xdr:colOff>50800</xdr:colOff>
                    <xdr:row>146</xdr:row>
                    <xdr:rowOff>0</xdr:rowOff>
                  </from>
                  <to>
                    <xdr:col>4</xdr:col>
                    <xdr:colOff>292100</xdr:colOff>
                    <xdr:row>147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7" name="Spinner 11">
              <controlPr defaultSize="0" autoPict="0">
                <anchor moveWithCells="1" sizeWithCells="1">
                  <from>
                    <xdr:col>4</xdr:col>
                    <xdr:colOff>50800</xdr:colOff>
                    <xdr:row>150</xdr:row>
                    <xdr:rowOff>0</xdr:rowOff>
                  </from>
                  <to>
                    <xdr:col>4</xdr:col>
                    <xdr:colOff>292100</xdr:colOff>
                    <xdr:row>151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8" name="Spinner 12">
              <controlPr defaultSize="0" autoPict="0">
                <anchor moveWithCells="1" sizeWithCells="1">
                  <from>
                    <xdr:col>6</xdr:col>
                    <xdr:colOff>158750</xdr:colOff>
                    <xdr:row>138</xdr:row>
                    <xdr:rowOff>152400</xdr:rowOff>
                  </from>
                  <to>
                    <xdr:col>6</xdr:col>
                    <xdr:colOff>381000</xdr:colOff>
                    <xdr:row>139</xdr:row>
                    <xdr:rowOff>158750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9" name="Spinner 13">
              <controlPr defaultSize="0" autoPict="0">
                <anchor moveWithCells="1" sizeWithCells="1">
                  <from>
                    <xdr:col>6</xdr:col>
                    <xdr:colOff>120650</xdr:colOff>
                    <xdr:row>146</xdr:row>
                    <xdr:rowOff>0</xdr:rowOff>
                  </from>
                  <to>
                    <xdr:col>6</xdr:col>
                    <xdr:colOff>342900</xdr:colOff>
                    <xdr:row>147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0" name="Spinner 14">
              <controlPr defaultSize="0" autoPict="0">
                <anchor moveWithCells="1" sizeWithCells="1">
                  <from>
                    <xdr:col>6</xdr:col>
                    <xdr:colOff>120650</xdr:colOff>
                    <xdr:row>150</xdr:row>
                    <xdr:rowOff>0</xdr:rowOff>
                  </from>
                  <to>
                    <xdr:col>6</xdr:col>
                    <xdr:colOff>342900</xdr:colOff>
                    <xdr:row>151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1" name="Spinner 15">
              <controlPr defaultSize="0" autoPict="0">
                <anchor moveWithCells="1" sizeWithCells="1">
                  <from>
                    <xdr:col>4</xdr:col>
                    <xdr:colOff>50800</xdr:colOff>
                    <xdr:row>218</xdr:row>
                    <xdr:rowOff>0</xdr:rowOff>
                  </from>
                  <to>
                    <xdr:col>4</xdr:col>
                    <xdr:colOff>292100</xdr:colOff>
                    <xdr:row>219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2" name="Spinner 16">
              <controlPr defaultSize="0" autoPict="0">
                <anchor moveWithCells="1" sizeWithCells="1">
                  <from>
                    <xdr:col>6</xdr:col>
                    <xdr:colOff>50800</xdr:colOff>
                    <xdr:row>218</xdr:row>
                    <xdr:rowOff>0</xdr:rowOff>
                  </from>
                  <to>
                    <xdr:col>6</xdr:col>
                    <xdr:colOff>292100</xdr:colOff>
                    <xdr:row>219</xdr:row>
                    <xdr:rowOff>12700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>
    <tabColor rgb="FFFF0000"/>
  </sheetPr>
  <dimension ref="A2:L83"/>
  <sheetViews>
    <sheetView zoomScale="80" zoomScaleNormal="80" workbookViewId="0">
      <pane xSplit="4" ySplit="3" topLeftCell="E33" activePane="bottomRight" state="frozen"/>
      <selection pane="topRight" activeCell="E1" sqref="E1"/>
      <selection pane="bottomLeft" activeCell="A4" sqref="A4"/>
      <selection pane="bottomRight" activeCell="G53" sqref="G53"/>
    </sheetView>
  </sheetViews>
  <sheetFormatPr defaultRowHeight="13" x14ac:dyDescent="0.3"/>
  <cols>
    <col min="1" max="1" width="1.08984375" style="4" customWidth="1"/>
    <col min="2" max="3" width="1.08984375" style="1" customWidth="1"/>
    <col min="4" max="4" width="32.6328125" style="1" customWidth="1"/>
    <col min="5" max="5" width="14" style="1" customWidth="1"/>
    <col min="6" max="9" width="14.26953125" style="1" customWidth="1"/>
    <col min="10" max="13" width="14.36328125" style="1" customWidth="1"/>
    <col min="14" max="16384" width="8.7265625" style="1"/>
  </cols>
  <sheetData>
    <row r="2" spans="1:5" x14ac:dyDescent="0.3">
      <c r="A2" s="4" t="s">
        <v>278</v>
      </c>
    </row>
    <row r="3" spans="1:5" x14ac:dyDescent="0.3">
      <c r="C3" s="1" t="s">
        <v>279</v>
      </c>
      <c r="E3" s="63">
        <v>2014</v>
      </c>
    </row>
    <row r="4" spans="1:5" x14ac:dyDescent="0.3">
      <c r="C4" s="1" t="s">
        <v>281</v>
      </c>
      <c r="E4" s="1">
        <f>MATCH(E3,'Financial Model'!2:2)</f>
        <v>12</v>
      </c>
    </row>
    <row r="6" spans="1:5" x14ac:dyDescent="0.3">
      <c r="C6" s="1" t="s">
        <v>280</v>
      </c>
      <c r="E6" s="63">
        <v>8</v>
      </c>
    </row>
    <row r="7" spans="1:5" x14ac:dyDescent="0.3">
      <c r="C7" s="1" t="s">
        <v>222</v>
      </c>
      <c r="E7" s="60">
        <f>INDEX('Financial Model'!345:345,'Structuring Assumptions'!E4)</f>
        <v>1078315384.0636816</v>
      </c>
    </row>
    <row r="8" spans="1:5" x14ac:dyDescent="0.3">
      <c r="C8" s="1" t="s">
        <v>282</v>
      </c>
      <c r="E8" s="60">
        <f>E7*E6</f>
        <v>8626523072.5094528</v>
      </c>
    </row>
    <row r="10" spans="1:5" x14ac:dyDescent="0.3">
      <c r="C10" s="1" t="s">
        <v>283</v>
      </c>
    </row>
    <row r="11" spans="1:5" x14ac:dyDescent="0.3">
      <c r="C11" s="1" t="s">
        <v>284</v>
      </c>
    </row>
    <row r="13" spans="1:5" x14ac:dyDescent="0.3">
      <c r="C13" s="1" t="s">
        <v>285</v>
      </c>
      <c r="E13" s="61">
        <f>INDEX('Financial Model'!366:366,'Structuring Assumptions'!E4)</f>
        <v>199035728.0300006</v>
      </c>
    </row>
    <row r="14" spans="1:5" x14ac:dyDescent="0.3">
      <c r="C14" s="1" t="s">
        <v>286</v>
      </c>
      <c r="E14" s="60">
        <f>E8+E13</f>
        <v>8825558800.5394535</v>
      </c>
    </row>
    <row r="16" spans="1:5" x14ac:dyDescent="0.3">
      <c r="C16" s="1" t="s">
        <v>240</v>
      </c>
      <c r="E16" s="60">
        <f>INDEX('Financial Model'!342:342,'Structuring Assumptions'!E4)</f>
        <v>778448127.85368156</v>
      </c>
    </row>
    <row r="17" spans="1:8" x14ac:dyDescent="0.3">
      <c r="C17" s="1" t="s">
        <v>287</v>
      </c>
      <c r="E17" s="5">
        <f>E14/E16</f>
        <v>11.337375587083846</v>
      </c>
    </row>
    <row r="19" spans="1:8" x14ac:dyDescent="0.3">
      <c r="C19" s="1" t="s">
        <v>295</v>
      </c>
      <c r="E19" s="63">
        <v>7</v>
      </c>
    </row>
    <row r="20" spans="1:8" x14ac:dyDescent="0.3">
      <c r="C20" s="1" t="s">
        <v>296</v>
      </c>
      <c r="E20" s="63">
        <v>6</v>
      </c>
    </row>
    <row r="21" spans="1:8" x14ac:dyDescent="0.3">
      <c r="E21" s="63"/>
    </row>
    <row r="22" spans="1:8" x14ac:dyDescent="0.3">
      <c r="C22" s="1" t="s">
        <v>303</v>
      </c>
      <c r="E22" s="65">
        <v>1.4999999999999999E-2</v>
      </c>
    </row>
    <row r="24" spans="1:8" x14ac:dyDescent="0.3">
      <c r="A24" s="4" t="s">
        <v>175</v>
      </c>
    </row>
    <row r="25" spans="1:8" x14ac:dyDescent="0.3">
      <c r="C25" s="1" t="s">
        <v>288</v>
      </c>
      <c r="E25" s="62">
        <f>G25/100</f>
        <v>0.82</v>
      </c>
      <c r="G25" s="1">
        <v>82</v>
      </c>
    </row>
    <row r="26" spans="1:8" x14ac:dyDescent="0.3">
      <c r="C26" s="1" t="s">
        <v>289</v>
      </c>
      <c r="E26" s="60">
        <f>E25*E14</f>
        <v>7236958216.4423513</v>
      </c>
    </row>
    <row r="27" spans="1:8" x14ac:dyDescent="0.3">
      <c r="C27" s="1" t="s">
        <v>320</v>
      </c>
      <c r="E27" s="5">
        <f>E26/E7</f>
        <v>6.7113558086962817</v>
      </c>
    </row>
    <row r="29" spans="1:8" x14ac:dyDescent="0.3">
      <c r="C29" s="1" t="s">
        <v>290</v>
      </c>
      <c r="E29" s="64">
        <v>0.15</v>
      </c>
    </row>
    <row r="30" spans="1:8" x14ac:dyDescent="0.3">
      <c r="E30" s="62"/>
    </row>
    <row r="31" spans="1:8" x14ac:dyDescent="0.3">
      <c r="C31" s="1" t="s">
        <v>291</v>
      </c>
      <c r="F31" s="2"/>
      <c r="G31" s="2"/>
    </row>
    <row r="32" spans="1:8" x14ac:dyDescent="0.3">
      <c r="D32" s="2" t="s">
        <v>292</v>
      </c>
      <c r="E32" s="63">
        <v>1</v>
      </c>
      <c r="F32" s="63">
        <v>2</v>
      </c>
      <c r="G32" s="63">
        <v>3</v>
      </c>
      <c r="H32" s="63">
        <v>4</v>
      </c>
    </row>
    <row r="33" spans="1:8" x14ac:dyDescent="0.3">
      <c r="D33" s="2" t="s">
        <v>293</v>
      </c>
      <c r="E33" s="64">
        <v>0.2</v>
      </c>
      <c r="F33" s="64">
        <v>0.5</v>
      </c>
      <c r="G33" s="64">
        <v>0.7</v>
      </c>
      <c r="H33" s="64">
        <v>1</v>
      </c>
    </row>
    <row r="34" spans="1:8" x14ac:dyDescent="0.3">
      <c r="F34" s="63"/>
      <c r="G34" s="64"/>
    </row>
    <row r="35" spans="1:8" x14ac:dyDescent="0.3">
      <c r="C35" s="1" t="s">
        <v>294</v>
      </c>
      <c r="E35" s="64">
        <v>0.02</v>
      </c>
    </row>
    <row r="36" spans="1:8" x14ac:dyDescent="0.3">
      <c r="C36" s="1" t="s">
        <v>340</v>
      </c>
      <c r="E36" s="62">
        <v>7.0000000000000007E-2</v>
      </c>
    </row>
    <row r="38" spans="1:8" x14ac:dyDescent="0.3">
      <c r="A38" s="4" t="s">
        <v>297</v>
      </c>
    </row>
    <row r="39" spans="1:8" x14ac:dyDescent="0.3">
      <c r="B39" s="1" t="s">
        <v>298</v>
      </c>
    </row>
    <row r="40" spans="1:8" x14ac:dyDescent="0.3">
      <c r="C40" s="1" t="s">
        <v>301</v>
      </c>
      <c r="E40" s="60">
        <f>E14</f>
        <v>8825558800.5394535</v>
      </c>
    </row>
    <row r="41" spans="1:8" x14ac:dyDescent="0.3">
      <c r="C41" s="1" t="s">
        <v>318</v>
      </c>
      <c r="E41" s="60">
        <f>E22*E14</f>
        <v>132383382.00809179</v>
      </c>
    </row>
    <row r="42" spans="1:8" x14ac:dyDescent="0.3">
      <c r="C42" s="1" t="s">
        <v>319</v>
      </c>
      <c r="E42" s="60">
        <f>E35*E26</f>
        <v>144739164.32884702</v>
      </c>
    </row>
    <row r="43" spans="1:8" ht="13.5" thickBot="1" x14ac:dyDescent="0.35">
      <c r="D43" s="48" t="s">
        <v>199</v>
      </c>
      <c r="E43" s="57">
        <f>SUM(E40:E42)</f>
        <v>9102681346.8763924</v>
      </c>
    </row>
    <row r="44" spans="1:8" ht="13.5" thickTop="1" x14ac:dyDescent="0.3"/>
    <row r="45" spans="1:8" x14ac:dyDescent="0.3">
      <c r="B45" s="1" t="s">
        <v>299</v>
      </c>
    </row>
    <row r="46" spans="1:8" x14ac:dyDescent="0.3">
      <c r="C46" s="1" t="s">
        <v>259</v>
      </c>
      <c r="E46" s="60">
        <f>E26</f>
        <v>7236958216.4423513</v>
      </c>
    </row>
    <row r="47" spans="1:8" x14ac:dyDescent="0.3">
      <c r="C47" s="1" t="s">
        <v>107</v>
      </c>
      <c r="E47" s="60">
        <f>E43-E46</f>
        <v>1865723130.434041</v>
      </c>
    </row>
    <row r="48" spans="1:8" ht="13.5" thickBot="1" x14ac:dyDescent="0.35">
      <c r="D48" s="48" t="s">
        <v>199</v>
      </c>
      <c r="E48" s="57">
        <f>SUM(E46:E47)</f>
        <v>9102681346.8763924</v>
      </c>
    </row>
    <row r="49" spans="1:11" ht="13.5" thickTop="1" x14ac:dyDescent="0.3"/>
    <row r="50" spans="1:11" x14ac:dyDescent="0.3">
      <c r="A50" s="4" t="s">
        <v>300</v>
      </c>
    </row>
    <row r="51" spans="1:11" x14ac:dyDescent="0.3">
      <c r="C51" s="1" t="s">
        <v>301</v>
      </c>
      <c r="E51" s="60">
        <f>E40</f>
        <v>8825558800.5394535</v>
      </c>
    </row>
    <row r="52" spans="1:11" x14ac:dyDescent="0.3">
      <c r="C52" s="1" t="s">
        <v>302</v>
      </c>
      <c r="E52" s="60">
        <f>E80</f>
        <v>3012145735.6649117</v>
      </c>
    </row>
    <row r="53" spans="1:11" ht="13.5" thickBot="1" x14ac:dyDescent="0.35">
      <c r="C53" s="48" t="s">
        <v>75</v>
      </c>
      <c r="D53" s="48"/>
      <c r="E53" s="57">
        <f>E51-E52</f>
        <v>5813413064.8745422</v>
      </c>
    </row>
    <row r="54" spans="1:11" ht="13.5" thickTop="1" x14ac:dyDescent="0.3"/>
    <row r="55" spans="1:11" x14ac:dyDescent="0.3">
      <c r="A55" s="4" t="s">
        <v>304</v>
      </c>
    </row>
    <row r="56" spans="1:11" x14ac:dyDescent="0.3">
      <c r="D56" s="1" t="s">
        <v>310</v>
      </c>
      <c r="E56" s="1">
        <v>1</v>
      </c>
      <c r="F56" s="1">
        <f>E3+1</f>
        <v>2015</v>
      </c>
      <c r="G56" s="1">
        <f>F56+1</f>
        <v>2016</v>
      </c>
      <c r="H56" s="1">
        <f t="shared" ref="H56:K56" si="0">G56+1</f>
        <v>2017</v>
      </c>
      <c r="I56" s="1">
        <f t="shared" si="0"/>
        <v>2018</v>
      </c>
      <c r="J56" s="1">
        <f t="shared" si="0"/>
        <v>2019</v>
      </c>
      <c r="K56" s="1">
        <f t="shared" si="0"/>
        <v>2020</v>
      </c>
    </row>
    <row r="57" spans="1:11" x14ac:dyDescent="0.3">
      <c r="D57" s="1" t="s">
        <v>305</v>
      </c>
    </row>
    <row r="58" spans="1:11" x14ac:dyDescent="0.3">
      <c r="D58" s="1" t="s">
        <v>306</v>
      </c>
      <c r="F58" s="62">
        <v>-0.1</v>
      </c>
      <c r="G58" s="62">
        <v>0</v>
      </c>
      <c r="H58" s="62">
        <v>0.05</v>
      </c>
      <c r="I58" s="62">
        <v>0.12</v>
      </c>
      <c r="J58" s="62">
        <v>0.15</v>
      </c>
      <c r="K58" s="62">
        <v>0.15</v>
      </c>
    </row>
    <row r="59" spans="1:11" x14ac:dyDescent="0.3">
      <c r="D59" s="1" t="s">
        <v>307</v>
      </c>
      <c r="F59" s="62">
        <v>-0.05</v>
      </c>
      <c r="G59" s="62">
        <v>0</v>
      </c>
      <c r="H59" s="62">
        <v>0.1</v>
      </c>
      <c r="I59" s="62">
        <v>0.2</v>
      </c>
      <c r="J59" s="62">
        <v>0.2</v>
      </c>
      <c r="K59" s="62">
        <v>0.2</v>
      </c>
    </row>
    <row r="60" spans="1:11" x14ac:dyDescent="0.3">
      <c r="D60" s="1" t="s">
        <v>308</v>
      </c>
      <c r="F60" s="62">
        <v>-0.12</v>
      </c>
      <c r="G60" s="62">
        <v>-0.05</v>
      </c>
      <c r="H60" s="62">
        <v>-0.02</v>
      </c>
      <c r="I60" s="62">
        <v>-0.02</v>
      </c>
      <c r="J60" s="62">
        <v>0.04</v>
      </c>
      <c r="K60" s="62">
        <v>0.04</v>
      </c>
    </row>
    <row r="61" spans="1:11" x14ac:dyDescent="0.3">
      <c r="D61" s="1" t="s">
        <v>309</v>
      </c>
      <c r="F61" s="62">
        <v>0</v>
      </c>
      <c r="G61" s="62">
        <v>0</v>
      </c>
      <c r="H61" s="62">
        <v>0</v>
      </c>
      <c r="I61" s="62">
        <v>0</v>
      </c>
      <c r="J61" s="62">
        <v>0</v>
      </c>
      <c r="K61" s="62">
        <v>0</v>
      </c>
    </row>
    <row r="62" spans="1:11" ht="13.5" thickBot="1" x14ac:dyDescent="0.35"/>
    <row r="63" spans="1:11" ht="13.5" thickBot="1" x14ac:dyDescent="0.35">
      <c r="D63" s="66" t="str">
        <f>INDEX(D58:D61,$E$56)</f>
        <v>Base Case</v>
      </c>
      <c r="E63" s="67"/>
      <c r="F63" s="68">
        <f t="shared" ref="F63:K63" si="1">INDEX(F58:F61,$E$56)</f>
        <v>-0.1</v>
      </c>
      <c r="G63" s="68">
        <f t="shared" si="1"/>
        <v>0</v>
      </c>
      <c r="H63" s="68">
        <f t="shared" si="1"/>
        <v>0.05</v>
      </c>
      <c r="I63" s="68">
        <f t="shared" si="1"/>
        <v>0.12</v>
      </c>
      <c r="J63" s="68">
        <f t="shared" si="1"/>
        <v>0.15</v>
      </c>
      <c r="K63" s="69">
        <f t="shared" si="1"/>
        <v>0.15</v>
      </c>
    </row>
    <row r="65" spans="1:12" x14ac:dyDescent="0.3">
      <c r="A65" s="4" t="s">
        <v>311</v>
      </c>
    </row>
    <row r="66" spans="1:12" x14ac:dyDescent="0.3">
      <c r="B66" s="6" t="s">
        <v>43</v>
      </c>
      <c r="C66" s="6"/>
      <c r="D66" s="6"/>
      <c r="F66" s="2" t="s">
        <v>75</v>
      </c>
      <c r="G66" s="2" t="s">
        <v>313</v>
      </c>
      <c r="H66" s="2" t="s">
        <v>303</v>
      </c>
      <c r="I66" s="2" t="s">
        <v>314</v>
      </c>
      <c r="J66" s="2" t="s">
        <v>315</v>
      </c>
      <c r="K66" s="2" t="s">
        <v>316</v>
      </c>
      <c r="L66" s="2" t="s">
        <v>317</v>
      </c>
    </row>
    <row r="67" spans="1:12" x14ac:dyDescent="0.3">
      <c r="B67" s="6"/>
      <c r="C67" s="6" t="s">
        <v>227</v>
      </c>
      <c r="D67" s="6"/>
      <c r="E67" s="60">
        <f>INDEX('Financial Model'!366:366,'Structuring Assumptions'!$E$4)</f>
        <v>199035728.0300006</v>
      </c>
      <c r="K67" s="60">
        <f>SUM(F67:J67)</f>
        <v>0</v>
      </c>
      <c r="L67" s="60">
        <f>K67+E67</f>
        <v>199035728.0300006</v>
      </c>
    </row>
    <row r="68" spans="1:12" x14ac:dyDescent="0.3">
      <c r="B68" s="6"/>
      <c r="C68" s="6" t="s">
        <v>59</v>
      </c>
      <c r="D68" s="6"/>
      <c r="E68" s="60">
        <f>INDEX('Financial Model'!367:367,'Structuring Assumptions'!$E$4)</f>
        <v>614928927.08496583</v>
      </c>
      <c r="K68" s="60">
        <f t="shared" ref="K68:K73" si="2">SUM(F68:J68)</f>
        <v>0</v>
      </c>
      <c r="L68" s="60">
        <f t="shared" ref="L68:L74" si="3">K68+E68</f>
        <v>614928927.08496583</v>
      </c>
    </row>
    <row r="69" spans="1:12" x14ac:dyDescent="0.3">
      <c r="B69" s="6"/>
      <c r="C69" s="6" t="s">
        <v>167</v>
      </c>
      <c r="D69" s="6"/>
      <c r="E69" s="60">
        <f>INDEX('Financial Model'!368:368,'Structuring Assumptions'!$E$4)</f>
        <v>1615311080.3556349</v>
      </c>
      <c r="K69" s="60">
        <f t="shared" si="2"/>
        <v>0</v>
      </c>
      <c r="L69" s="60">
        <f t="shared" si="3"/>
        <v>1615311080.3556349</v>
      </c>
    </row>
    <row r="70" spans="1:12" x14ac:dyDescent="0.3">
      <c r="B70" s="6"/>
      <c r="C70" s="6" t="s">
        <v>257</v>
      </c>
      <c r="D70" s="6"/>
      <c r="E70" s="60">
        <f>INDEX('Financial Model'!369:369,'Structuring Assumptions'!$E$4)</f>
        <v>1072378783.3672003</v>
      </c>
      <c r="K70" s="60">
        <f t="shared" si="2"/>
        <v>0</v>
      </c>
      <c r="L70" s="60">
        <f t="shared" si="3"/>
        <v>1072378783.3672003</v>
      </c>
    </row>
    <row r="71" spans="1:12" x14ac:dyDescent="0.3">
      <c r="B71" s="6"/>
      <c r="C71" s="25" t="s">
        <v>75</v>
      </c>
      <c r="D71" s="6"/>
      <c r="E71" s="60"/>
      <c r="F71" s="60">
        <f>E53</f>
        <v>5813413064.8745422</v>
      </c>
      <c r="K71" s="60">
        <f t="shared" si="2"/>
        <v>5813413064.8745422</v>
      </c>
      <c r="L71" s="60">
        <f t="shared" si="3"/>
        <v>5813413064.8745422</v>
      </c>
    </row>
    <row r="72" spans="1:12" x14ac:dyDescent="0.3">
      <c r="B72" s="6"/>
      <c r="C72" s="25" t="s">
        <v>312</v>
      </c>
      <c r="D72" s="6"/>
      <c r="E72" s="60"/>
      <c r="G72" s="60">
        <f>E42</f>
        <v>144739164.32884702</v>
      </c>
      <c r="K72" s="60">
        <f t="shared" si="2"/>
        <v>144739164.32884702</v>
      </c>
      <c r="L72" s="60">
        <f t="shared" si="3"/>
        <v>144739164.32884702</v>
      </c>
    </row>
    <row r="73" spans="1:12" x14ac:dyDescent="0.3">
      <c r="B73" s="6"/>
      <c r="C73" s="25" t="s">
        <v>258</v>
      </c>
      <c r="D73" s="6"/>
      <c r="E73" s="60">
        <f>INDEX('Financial Model'!370:370,'Structuring Assumptions'!$E$4)</f>
        <v>231823892.46811008</v>
      </c>
      <c r="K73" s="60">
        <f t="shared" si="2"/>
        <v>0</v>
      </c>
      <c r="L73" s="60">
        <f t="shared" si="3"/>
        <v>231823892.46811008</v>
      </c>
    </row>
    <row r="74" spans="1:12" ht="13.5" thickBot="1" x14ac:dyDescent="0.35">
      <c r="B74" s="6"/>
      <c r="C74" s="6"/>
      <c r="D74" s="48" t="s">
        <v>199</v>
      </c>
      <c r="E74" s="57">
        <f>INDEX('Financial Model'!371:371,'Structuring Assumptions'!$E$4)</f>
        <v>3733478411.3059115</v>
      </c>
      <c r="F74" s="48"/>
      <c r="G74" s="48"/>
      <c r="H74" s="48"/>
      <c r="I74" s="48"/>
      <c r="J74" s="48"/>
      <c r="K74" s="57">
        <f>SUM(K67:K73)</f>
        <v>5958152229.2033892</v>
      </c>
      <c r="L74" s="57">
        <f t="shared" si="3"/>
        <v>9691630640.5093002</v>
      </c>
    </row>
    <row r="75" spans="1:12" ht="13.5" thickTop="1" x14ac:dyDescent="0.3">
      <c r="B75" s="6"/>
      <c r="C75" s="6"/>
      <c r="D75" s="6"/>
      <c r="E75" s="60"/>
    </row>
    <row r="76" spans="1:12" x14ac:dyDescent="0.3">
      <c r="B76" s="6" t="s">
        <v>103</v>
      </c>
      <c r="C76" s="6"/>
      <c r="D76" s="6"/>
      <c r="E76" s="60"/>
    </row>
    <row r="77" spans="1:12" x14ac:dyDescent="0.3">
      <c r="B77" s="6"/>
      <c r="C77" s="6" t="s">
        <v>85</v>
      </c>
      <c r="D77" s="6"/>
      <c r="E77" s="60">
        <f>INDEX('Financial Model'!376:376,'Structuring Assumptions'!$E$4)</f>
        <v>721332675.64099979</v>
      </c>
      <c r="K77" s="60">
        <f t="shared" ref="K77:K80" si="4">SUM(F77:J77)</f>
        <v>0</v>
      </c>
      <c r="L77" s="60">
        <f>K77+E77</f>
        <v>721332675.64099979</v>
      </c>
    </row>
    <row r="78" spans="1:12" x14ac:dyDescent="0.3">
      <c r="B78" s="6"/>
      <c r="C78" s="6" t="s">
        <v>259</v>
      </c>
      <c r="D78" s="6"/>
      <c r="E78" s="60">
        <f>INDEX('Financial Model'!377:377,'Structuring Assumptions'!$E$4)</f>
        <v>0</v>
      </c>
      <c r="G78" s="60">
        <f>E46</f>
        <v>7236958216.4423513</v>
      </c>
      <c r="K78" s="60">
        <f t="shared" si="4"/>
        <v>7236958216.4423513</v>
      </c>
      <c r="L78" s="60">
        <f t="shared" ref="L78:L81" si="5">K78+E78</f>
        <v>7236958216.4423513</v>
      </c>
    </row>
    <row r="79" spans="1:12" x14ac:dyDescent="0.3">
      <c r="B79" s="6"/>
      <c r="C79" s="6" t="s">
        <v>260</v>
      </c>
      <c r="D79" s="6"/>
      <c r="E79" s="60">
        <f>INDEX('Financial Model'!378:378,'Structuring Assumptions'!$E$4)</f>
        <v>0</v>
      </c>
      <c r="K79" s="60">
        <f t="shared" si="4"/>
        <v>0</v>
      </c>
      <c r="L79" s="60">
        <f t="shared" si="5"/>
        <v>0</v>
      </c>
    </row>
    <row r="80" spans="1:12" x14ac:dyDescent="0.3">
      <c r="B80" s="6"/>
      <c r="C80" s="25" t="s">
        <v>107</v>
      </c>
      <c r="D80" s="6"/>
      <c r="E80" s="60">
        <f>INDEX('Financial Model'!379:379,'Structuring Assumptions'!$E$4)</f>
        <v>3012145735.6649117</v>
      </c>
      <c r="H80" s="60">
        <f>-E41</f>
        <v>-132383382.00809179</v>
      </c>
      <c r="I80" s="60">
        <f>-E80</f>
        <v>-3012145735.6649117</v>
      </c>
      <c r="J80" s="60">
        <f>E47</f>
        <v>1865723130.434041</v>
      </c>
      <c r="K80" s="60">
        <f t="shared" si="4"/>
        <v>-1278805987.2389627</v>
      </c>
      <c r="L80" s="60">
        <f t="shared" si="5"/>
        <v>1733339748.4259491</v>
      </c>
    </row>
    <row r="81" spans="2:12" ht="13.5" thickBot="1" x14ac:dyDescent="0.35">
      <c r="B81" s="6"/>
      <c r="C81" s="25"/>
      <c r="D81" s="48" t="s">
        <v>199</v>
      </c>
      <c r="E81" s="57">
        <f>INDEX('Financial Model'!380:380,'Structuring Assumptions'!$E$4)</f>
        <v>3733478411.3059115</v>
      </c>
      <c r="F81" s="48"/>
      <c r="G81" s="48"/>
      <c r="H81" s="48"/>
      <c r="I81" s="48"/>
      <c r="J81" s="48"/>
      <c r="K81" s="57">
        <f>SUM(K77:K80)</f>
        <v>5958152229.2033882</v>
      </c>
      <c r="L81" s="57">
        <f t="shared" si="5"/>
        <v>9691630640.5093002</v>
      </c>
    </row>
    <row r="82" spans="2:12" ht="13.5" thickTop="1" x14ac:dyDescent="0.3"/>
    <row r="83" spans="2:12" x14ac:dyDescent="0.3">
      <c r="K83" s="1" t="b">
        <f>K81=K74</f>
        <v>1</v>
      </c>
    </row>
  </sheetData>
  <sortState columnSort="1" ref="E32:H33">
    <sortCondition ref="E32:H32"/>
  </sortState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Drop Down 1">
              <controlPr defaultSize="0" autoLine="0" autoPict="0">
                <anchor moveWithCells="1">
                  <from>
                    <xdr:col>5</xdr:col>
                    <xdr:colOff>984250</xdr:colOff>
                    <xdr:row>52</xdr:row>
                    <xdr:rowOff>152400</xdr:rowOff>
                  </from>
                  <to>
                    <xdr:col>7</xdr:col>
                    <xdr:colOff>946150</xdr:colOff>
                    <xdr:row>54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4" name="Spinner 2">
              <controlPr defaultSize="0" autoPict="0">
                <anchor moveWithCells="1" sizeWithCells="1">
                  <from>
                    <xdr:col>5</xdr:col>
                    <xdr:colOff>152400</xdr:colOff>
                    <xdr:row>5</xdr:row>
                    <xdr:rowOff>0</xdr:rowOff>
                  </from>
                  <to>
                    <xdr:col>5</xdr:col>
                    <xdr:colOff>501650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5" name="Spinner 3">
              <controlPr defaultSize="0" autoPict="0">
                <anchor moveWithCells="1" sizeWithCells="1">
                  <from>
                    <xdr:col>5</xdr:col>
                    <xdr:colOff>152400</xdr:colOff>
                    <xdr:row>18</xdr:row>
                    <xdr:rowOff>0</xdr:rowOff>
                  </from>
                  <to>
                    <xdr:col>5</xdr:col>
                    <xdr:colOff>501650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6" name="Spinner 4">
              <controlPr defaultSize="0" autoPict="0">
                <anchor moveWithCells="1" sizeWithCells="1">
                  <from>
                    <xdr:col>5</xdr:col>
                    <xdr:colOff>152400</xdr:colOff>
                    <xdr:row>19</xdr:row>
                    <xdr:rowOff>0</xdr:rowOff>
                  </from>
                  <to>
                    <xdr:col>5</xdr:col>
                    <xdr:colOff>501650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7" name="Spinner 5">
              <controlPr defaultSize="0" autoPict="0">
                <anchor moveWithCells="1" sizeWithCells="1">
                  <from>
                    <xdr:col>5</xdr:col>
                    <xdr:colOff>152400</xdr:colOff>
                    <xdr:row>2</xdr:row>
                    <xdr:rowOff>0</xdr:rowOff>
                  </from>
                  <to>
                    <xdr:col>5</xdr:col>
                    <xdr:colOff>501650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8" name="Spinner 6">
              <controlPr defaultSize="0" autoPict="0">
                <anchor moveWithCells="1" sizeWithCells="1">
                  <from>
                    <xdr:col>5</xdr:col>
                    <xdr:colOff>152400</xdr:colOff>
                    <xdr:row>24</xdr:row>
                    <xdr:rowOff>0</xdr:rowOff>
                  </from>
                  <to>
                    <xdr:col>5</xdr:col>
                    <xdr:colOff>501650</xdr:colOff>
                    <xdr:row>25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4"/>
  <dimension ref="A1:O131"/>
  <sheetViews>
    <sheetView zoomScale="80" zoomScaleNormal="80" workbookViewId="0">
      <pane xSplit="6" ySplit="6" topLeftCell="G113" activePane="bottomRight" state="frozen"/>
      <selection pane="topRight" activeCell="G1" sqref="G1"/>
      <selection pane="bottomLeft" activeCell="A7" sqref="A7"/>
      <selection pane="bottomRight" activeCell="G1" sqref="G1"/>
    </sheetView>
  </sheetViews>
  <sheetFormatPr defaultRowHeight="13" x14ac:dyDescent="0.3"/>
  <cols>
    <col min="1" max="1" width="1.26953125" style="4" customWidth="1"/>
    <col min="2" max="3" width="1.26953125" customWidth="1"/>
    <col min="4" max="4" width="30.08984375" customWidth="1"/>
    <col min="5" max="6" width="6.7265625" customWidth="1"/>
    <col min="7" max="15" width="17" customWidth="1"/>
  </cols>
  <sheetData>
    <row r="1" spans="1:15" x14ac:dyDescent="0.3">
      <c r="A1" s="4" t="s">
        <v>321</v>
      </c>
    </row>
    <row r="2" spans="1:15" x14ac:dyDescent="0.3">
      <c r="B2" s="1" t="s">
        <v>322</v>
      </c>
      <c r="G2" s="72">
        <f>'Structuring Assumptions'!E3</f>
        <v>2014</v>
      </c>
      <c r="H2">
        <f>G2+1</f>
        <v>2015</v>
      </c>
      <c r="I2">
        <f t="shared" ref="I2:O2" si="0">H2+1</f>
        <v>2016</v>
      </c>
      <c r="J2">
        <f t="shared" si="0"/>
        <v>2017</v>
      </c>
      <c r="K2">
        <f t="shared" si="0"/>
        <v>2018</v>
      </c>
      <c r="L2">
        <f t="shared" si="0"/>
        <v>2019</v>
      </c>
      <c r="M2">
        <f t="shared" si="0"/>
        <v>2020</v>
      </c>
      <c r="N2">
        <f t="shared" si="0"/>
        <v>2021</v>
      </c>
      <c r="O2">
        <f t="shared" si="0"/>
        <v>2022</v>
      </c>
    </row>
    <row r="3" spans="1:15" x14ac:dyDescent="0.3">
      <c r="B3" s="1" t="s">
        <v>296</v>
      </c>
      <c r="G3">
        <v>0</v>
      </c>
      <c r="H3">
        <v>1</v>
      </c>
      <c r="I3">
        <v>2</v>
      </c>
      <c r="J3">
        <v>3</v>
      </c>
      <c r="K3">
        <v>4</v>
      </c>
      <c r="L3">
        <v>5</v>
      </c>
      <c r="M3">
        <v>6</v>
      </c>
      <c r="N3">
        <v>7</v>
      </c>
      <c r="O3">
        <v>8</v>
      </c>
    </row>
    <row r="4" spans="1:15" x14ac:dyDescent="0.3">
      <c r="B4" s="1" t="s">
        <v>323</v>
      </c>
      <c r="E4" s="72">
        <f>'Structuring Assumptions'!E20</f>
        <v>6</v>
      </c>
      <c r="H4" t="b">
        <f>H3&lt;=$E$4</f>
        <v>1</v>
      </c>
      <c r="I4" t="b">
        <f t="shared" ref="I4:O4" si="1">I3&lt;=$E$4</f>
        <v>1</v>
      </c>
      <c r="J4" t="b">
        <f t="shared" si="1"/>
        <v>1</v>
      </c>
      <c r="K4" t="b">
        <f t="shared" si="1"/>
        <v>1</v>
      </c>
      <c r="L4" t="b">
        <f t="shared" si="1"/>
        <v>1</v>
      </c>
      <c r="M4" t="b">
        <f t="shared" si="1"/>
        <v>1</v>
      </c>
      <c r="N4" t="b">
        <f t="shared" si="1"/>
        <v>0</v>
      </c>
      <c r="O4" t="b">
        <f t="shared" si="1"/>
        <v>0</v>
      </c>
    </row>
    <row r="5" spans="1:15" x14ac:dyDescent="0.3">
      <c r="B5" s="1" t="s">
        <v>324</v>
      </c>
      <c r="E5">
        <f>E4</f>
        <v>6</v>
      </c>
      <c r="H5" t="b">
        <f>H3=$E$5</f>
        <v>0</v>
      </c>
      <c r="I5" t="b">
        <f t="shared" ref="I5:O5" si="2">I3=$E$5</f>
        <v>0</v>
      </c>
      <c r="J5" t="b">
        <f t="shared" si="2"/>
        <v>0</v>
      </c>
      <c r="K5" t="b">
        <f t="shared" si="2"/>
        <v>0</v>
      </c>
      <c r="L5" t="b">
        <f t="shared" si="2"/>
        <v>0</v>
      </c>
      <c r="M5" t="b">
        <f t="shared" si="2"/>
        <v>1</v>
      </c>
      <c r="N5" t="b">
        <f t="shared" si="2"/>
        <v>0</v>
      </c>
      <c r="O5" t="b">
        <f t="shared" si="2"/>
        <v>0</v>
      </c>
    </row>
    <row r="6" spans="1:15" x14ac:dyDescent="0.3">
      <c r="B6" s="1" t="s">
        <v>325</v>
      </c>
      <c r="G6" s="1">
        <f>MATCH(G2,'Financial Model'!2:2)</f>
        <v>12</v>
      </c>
      <c r="H6" s="1">
        <f>MATCH(H2,'Financial Model'!2:2)</f>
        <v>13</v>
      </c>
      <c r="I6" s="1">
        <f>MATCH(I2,'Financial Model'!2:2)</f>
        <v>14</v>
      </c>
      <c r="J6" s="1">
        <f>MATCH(J2,'Financial Model'!2:2)</f>
        <v>15</v>
      </c>
      <c r="K6" s="1">
        <f>MATCH(K2,'Financial Model'!2:2)</f>
        <v>16</v>
      </c>
      <c r="L6" s="1">
        <f>MATCH(L2,'Financial Model'!2:2)</f>
        <v>17</v>
      </c>
      <c r="M6" s="1">
        <f>MATCH(M2,'Financial Model'!2:2)</f>
        <v>18</v>
      </c>
      <c r="N6" s="1">
        <f>MATCH(N2,'Financial Model'!2:2)</f>
        <v>19</v>
      </c>
      <c r="O6" s="1">
        <f>MATCH(O2,'Financial Model'!2:2)</f>
        <v>20</v>
      </c>
    </row>
    <row r="8" spans="1:15" x14ac:dyDescent="0.3">
      <c r="A8" s="4" t="s">
        <v>311</v>
      </c>
      <c r="G8" s="76" t="str">
        <f>'Structuring Assumptions'!L66</f>
        <v xml:space="preserve">Adjusted </v>
      </c>
      <c r="H8" s="72">
        <f>MATCH(G8,'Structuring Assumptions'!66:66,0)</f>
        <v>12</v>
      </c>
    </row>
    <row r="9" spans="1:15" x14ac:dyDescent="0.3">
      <c r="B9" t="s">
        <v>43</v>
      </c>
    </row>
    <row r="10" spans="1:15" x14ac:dyDescent="0.3">
      <c r="C10" t="s">
        <v>227</v>
      </c>
      <c r="G10" s="77">
        <f>INDEX('Structuring Assumptions'!67:67,'Acquisition Model'!$H$8)</f>
        <v>199035728.0300006</v>
      </c>
    </row>
    <row r="11" spans="1:15" x14ac:dyDescent="0.3">
      <c r="C11" t="s">
        <v>59</v>
      </c>
      <c r="G11" s="77">
        <f>INDEX('Structuring Assumptions'!68:68,'Acquisition Model'!$H$8)</f>
        <v>614928927.08496583</v>
      </c>
    </row>
    <row r="12" spans="1:15" x14ac:dyDescent="0.3">
      <c r="C12" t="s">
        <v>167</v>
      </c>
      <c r="G12" s="77">
        <f>INDEX('Structuring Assumptions'!69:69,'Acquisition Model'!$H$8)</f>
        <v>1615311080.3556349</v>
      </c>
    </row>
    <row r="13" spans="1:15" x14ac:dyDescent="0.3">
      <c r="C13" t="s">
        <v>257</v>
      </c>
      <c r="G13" s="77">
        <f>INDEX('Structuring Assumptions'!70:70,'Acquisition Model'!$H$8)</f>
        <v>1072378783.3672003</v>
      </c>
    </row>
    <row r="14" spans="1:15" x14ac:dyDescent="0.3">
      <c r="C14" t="s">
        <v>75</v>
      </c>
      <c r="G14" s="77">
        <f>INDEX('Structuring Assumptions'!71:71,'Acquisition Model'!$H$8)</f>
        <v>5813413064.8745422</v>
      </c>
    </row>
    <row r="15" spans="1:15" x14ac:dyDescent="0.3">
      <c r="C15" t="s">
        <v>312</v>
      </c>
      <c r="G15" s="77">
        <f>INDEX('Structuring Assumptions'!72:72,'Acquisition Model'!$H$8)</f>
        <v>144739164.32884702</v>
      </c>
    </row>
    <row r="16" spans="1:15" x14ac:dyDescent="0.3">
      <c r="C16" t="s">
        <v>258</v>
      </c>
      <c r="G16" s="77">
        <f>INDEX('Structuring Assumptions'!73:73,'Acquisition Model'!$H$8)</f>
        <v>231823892.46811008</v>
      </c>
    </row>
    <row r="17" spans="1:15" ht="13.5" thickBot="1" x14ac:dyDescent="0.35">
      <c r="D17" s="70" t="s">
        <v>199</v>
      </c>
      <c r="E17" s="70"/>
      <c r="F17" s="70"/>
      <c r="G17" s="78">
        <f>INDEX('Structuring Assumptions'!74:74,'Acquisition Model'!$H$8)</f>
        <v>9691630640.5093002</v>
      </c>
    </row>
    <row r="18" spans="1:15" ht="13.5" thickTop="1" x14ac:dyDescent="0.3">
      <c r="G18" s="58"/>
    </row>
    <row r="19" spans="1:15" x14ac:dyDescent="0.3">
      <c r="B19" t="s">
        <v>103</v>
      </c>
      <c r="G19" s="58"/>
    </row>
    <row r="20" spans="1:15" x14ac:dyDescent="0.3">
      <c r="C20" t="s">
        <v>85</v>
      </c>
      <c r="G20" s="77">
        <f>INDEX('Structuring Assumptions'!77:77,'Acquisition Model'!$H$8)</f>
        <v>721332675.64099979</v>
      </c>
    </row>
    <row r="21" spans="1:15" x14ac:dyDescent="0.3">
      <c r="C21" t="s">
        <v>259</v>
      </c>
      <c r="G21" s="77">
        <f>INDEX('Structuring Assumptions'!78:78,'Acquisition Model'!$H$8)</f>
        <v>7236958216.4423513</v>
      </c>
    </row>
    <row r="22" spans="1:15" x14ac:dyDescent="0.3">
      <c r="C22" t="s">
        <v>260</v>
      </c>
      <c r="G22" s="77">
        <f>INDEX('Structuring Assumptions'!79:79,'Acquisition Model'!$H$8)</f>
        <v>0</v>
      </c>
    </row>
    <row r="23" spans="1:15" x14ac:dyDescent="0.3">
      <c r="C23" t="s">
        <v>107</v>
      </c>
      <c r="G23" s="77">
        <f>INDEX('Structuring Assumptions'!80:80,'Acquisition Model'!$H$8)</f>
        <v>1733339748.4259491</v>
      </c>
    </row>
    <row r="24" spans="1:15" ht="13.5" thickBot="1" x14ac:dyDescent="0.35">
      <c r="D24" s="70" t="s">
        <v>199</v>
      </c>
      <c r="E24" s="70"/>
      <c r="F24" s="70"/>
      <c r="G24" s="78">
        <f>INDEX('Structuring Assumptions'!81:81,'Acquisition Model'!$H$8)</f>
        <v>9691630640.5093002</v>
      </c>
    </row>
    <row r="25" spans="1:15" ht="13.5" thickTop="1" x14ac:dyDescent="0.3"/>
    <row r="26" spans="1:15" x14ac:dyDescent="0.3">
      <c r="A26" s="4" t="s">
        <v>326</v>
      </c>
    </row>
    <row r="27" spans="1:15" x14ac:dyDescent="0.3">
      <c r="B27" s="1" t="s">
        <v>222</v>
      </c>
      <c r="H27" s="60">
        <f>INDEX('Financial Model'!345:345,'Acquisition Model'!H$6)</f>
        <v>1090605083.9566202</v>
      </c>
      <c r="I27" s="60">
        <f>INDEX('Financial Model'!345:345,'Acquisition Model'!I$6)</f>
        <v>1203655219.4122267</v>
      </c>
      <c r="J27" s="60">
        <f>INDEX('Financial Model'!345:345,'Acquisition Model'!J$6)</f>
        <v>1327510969.2059765</v>
      </c>
      <c r="K27" s="60">
        <f>INDEX('Financial Model'!345:345,'Acquisition Model'!K$6)</f>
        <v>1463315406.7720852</v>
      </c>
      <c r="L27" s="60">
        <f>INDEX('Financial Model'!345:345,'Acquisition Model'!L$6)</f>
        <v>1612318087.9855127</v>
      </c>
      <c r="M27" s="60">
        <f>INDEX('Financial Model'!345:345,'Acquisition Model'!M$6)</f>
        <v>1775886678.8836079</v>
      </c>
      <c r="N27" s="60">
        <f>INDEX('Financial Model'!345:345,'Acquisition Model'!N$6)</f>
        <v>1955519623.5543776</v>
      </c>
      <c r="O27" s="60">
        <f>INDEX('Financial Model'!345:345,'Acquisition Model'!O$6)</f>
        <v>2152859971.5551491</v>
      </c>
    </row>
    <row r="28" spans="1:15" x14ac:dyDescent="0.3">
      <c r="B28" s="1" t="s">
        <v>327</v>
      </c>
      <c r="H28" s="60">
        <f>INDEX('Financial Model'!347:347,'Acquisition Model'!H$6)</f>
        <v>190742033.70146441</v>
      </c>
      <c r="I28" s="60">
        <f>INDEX('Financial Model'!347:347,'Acquisition Model'!I$6)</f>
        <v>169964936.55010676</v>
      </c>
      <c r="J28" s="60">
        <f>INDEX('Financial Model'!347:347,'Acquisition Model'!J$6)</f>
        <v>186961430.2051177</v>
      </c>
      <c r="K28" s="60">
        <f>INDEX('Financial Model'!347:347,'Acquisition Model'!K$6)</f>
        <v>205657573.22562885</v>
      </c>
      <c r="L28" s="60">
        <f>INDEX('Financial Model'!347:347,'Acquisition Model'!L$6)</f>
        <v>226223330.5481925</v>
      </c>
      <c r="M28" s="60">
        <f>INDEX('Financial Model'!347:347,'Acquisition Model'!M$6)</f>
        <v>248845663.60301113</v>
      </c>
      <c r="N28" s="60">
        <f>INDEX('Financial Model'!347:347,'Acquisition Model'!N$6)</f>
        <v>273730229.96331167</v>
      </c>
      <c r="O28" s="60">
        <f>INDEX('Financial Model'!347:347,'Acquisition Model'!O$6)</f>
        <v>301103252.95964432</v>
      </c>
    </row>
    <row r="29" spans="1:15" x14ac:dyDescent="0.3">
      <c r="B29" s="1" t="s">
        <v>328</v>
      </c>
      <c r="H29" s="60">
        <f>INDEX('Financial Model'!348:348,'Acquisition Model'!H6)</f>
        <v>169400000</v>
      </c>
      <c r="I29" s="60">
        <f>INDEX('Financial Model'!348:348,'Acquisition Model'!I6)</f>
        <v>186340000.00000003</v>
      </c>
      <c r="J29" s="60">
        <f>INDEX('Financial Model'!348:348,'Acquisition Model'!J6)</f>
        <v>204974000.00000006</v>
      </c>
      <c r="K29" s="60">
        <f>INDEX('Financial Model'!348:348,'Acquisition Model'!K6)</f>
        <v>225471400.00000009</v>
      </c>
      <c r="L29" s="60">
        <f>INDEX('Financial Model'!348:348,'Acquisition Model'!L6)</f>
        <v>248018540.00000012</v>
      </c>
      <c r="M29" s="60">
        <f>INDEX('Financial Model'!348:348,'Acquisition Model'!M6)</f>
        <v>272820394.00000018</v>
      </c>
      <c r="N29" s="60">
        <f>INDEX('Financial Model'!348:348,'Acquisition Model'!N6)</f>
        <v>300102433.40000021</v>
      </c>
      <c r="O29" s="60">
        <f>INDEX('Financial Model'!348:348,'Acquisition Model'!O6)</f>
        <v>330112676.74000025</v>
      </c>
    </row>
    <row r="30" spans="1:15" x14ac:dyDescent="0.3">
      <c r="B30" s="1" t="s">
        <v>329</v>
      </c>
      <c r="H30" s="60">
        <f>INDEX('Financial Model'!335:335,'Acquisition Model'!H6)</f>
        <v>134234379.91005492</v>
      </c>
      <c r="I30" s="60">
        <f>INDEX('Financial Model'!335:335,'Acquisition Model'!I6)</f>
        <v>138636215.60481241</v>
      </c>
      <c r="J30" s="60">
        <f>INDEX('Financial Model'!335:335,'Acquisition Model'!J6)</f>
        <v>144607508.6003195</v>
      </c>
      <c r="K30" s="60">
        <f>INDEX('Financial Model'!335:335,'Acquisition Model'!K6)</f>
        <v>152163848.45528948</v>
      </c>
      <c r="L30" s="60">
        <f>INDEX('Financial Model'!335:335,'Acquisition Model'!L6)</f>
        <v>161340077.85944685</v>
      </c>
      <c r="M30" s="60">
        <f>INDEX('Financial Model'!335:335,'Acquisition Model'!M6)</f>
        <v>172190003.08872122</v>
      </c>
      <c r="N30" s="60">
        <f>INDEX('Financial Model'!335:335,'Acquisition Model'!N6)</f>
        <v>184786352.74948895</v>
      </c>
      <c r="O30" s="60">
        <f>INDEX('Financial Model'!335:335,'Acquisition Model'!O6)</f>
        <v>199220974.93697295</v>
      </c>
    </row>
    <row r="31" spans="1:15" x14ac:dyDescent="0.3">
      <c r="B31" s="1" t="s">
        <v>241</v>
      </c>
      <c r="H31" s="60">
        <f>INDEX('Financial Model'!330:330,'Acquisition Model'!H6)</f>
        <v>0.1</v>
      </c>
      <c r="I31" s="60">
        <f>INDEX('Financial Model'!330:330,'Acquisition Model'!I6)</f>
        <v>0.1</v>
      </c>
      <c r="J31" s="60">
        <f>INDEX('Financial Model'!330:330,'Acquisition Model'!J6)</f>
        <v>0.1</v>
      </c>
      <c r="K31" s="60">
        <f>INDEX('Financial Model'!330:330,'Acquisition Model'!K6)</f>
        <v>0.1</v>
      </c>
      <c r="L31" s="60">
        <f>INDEX('Financial Model'!330:330,'Acquisition Model'!L6)</f>
        <v>0.1</v>
      </c>
      <c r="M31" s="60">
        <f>INDEX('Financial Model'!330:330,'Acquisition Model'!M6)</f>
        <v>0.1</v>
      </c>
      <c r="N31" s="60">
        <f>INDEX('Financial Model'!330:330,'Acquisition Model'!N6)</f>
        <v>0.1</v>
      </c>
      <c r="O31" s="60">
        <f>INDEX('Financial Model'!330:330,'Acquisition Model'!O6)</f>
        <v>0.1</v>
      </c>
    </row>
    <row r="32" spans="1:15" x14ac:dyDescent="0.3">
      <c r="B32" s="1" t="s">
        <v>330</v>
      </c>
      <c r="G32" s="60">
        <f>INDEX('Financial Model'!367:367,'Acquisition Model'!G6)</f>
        <v>614928927.08496583</v>
      </c>
      <c r="H32" s="60">
        <f>INDEX('Financial Model'!367:367,'Acquisition Model'!H6)</f>
        <v>676421819.7934624</v>
      </c>
      <c r="I32" s="60">
        <f>INDEX('Financial Model'!367:367,'Acquisition Model'!I6)</f>
        <v>744064001.77280879</v>
      </c>
      <c r="J32" s="60">
        <f>INDEX('Financial Model'!367:367,'Acquisition Model'!J6)</f>
        <v>818470401.95008969</v>
      </c>
      <c r="K32" s="60">
        <f>INDEX('Financial Model'!367:367,'Acquisition Model'!K6)</f>
        <v>900317442.14509881</v>
      </c>
      <c r="L32" s="60">
        <f>INDEX('Financial Model'!367:367,'Acquisition Model'!L6)</f>
        <v>990349186.35960865</v>
      </c>
      <c r="M32" s="60">
        <f>INDEX('Financial Model'!367:367,'Acquisition Model'!M6)</f>
        <v>1089384104.9955695</v>
      </c>
      <c r="N32" s="60">
        <f>INDEX('Financial Model'!367:367,'Acquisition Model'!N6)</f>
        <v>1198322515.4951267</v>
      </c>
      <c r="O32" s="60">
        <f>INDEX('Financial Model'!367:367,'Acquisition Model'!O6)</f>
        <v>1318154767.0446396</v>
      </c>
    </row>
    <row r="33" spans="1:15" x14ac:dyDescent="0.3">
      <c r="B33" s="1" t="s">
        <v>331</v>
      </c>
      <c r="G33" s="60">
        <f>INDEX('Financial Model'!368:368,'Acquisition Model'!G6)</f>
        <v>1615311080.3556349</v>
      </c>
      <c r="H33" s="60">
        <f>INDEX('Financial Model'!368:368,'Acquisition Model'!H6)</f>
        <v>1848848678.6592903</v>
      </c>
      <c r="I33" s="60">
        <f>INDEX('Financial Model'!368:368,'Acquisition Model'!I6)</f>
        <v>2033733546.5252194</v>
      </c>
      <c r="J33" s="60">
        <f>INDEX('Financial Model'!368:368,'Acquisition Model'!J6)</f>
        <v>2237106901.1777415</v>
      </c>
      <c r="K33" s="60">
        <f>INDEX('Financial Model'!368:368,'Acquisition Model'!K6)</f>
        <v>2460817591.295516</v>
      </c>
      <c r="L33" s="60">
        <f>INDEX('Financial Model'!368:368,'Acquisition Model'!L6)</f>
        <v>2706899350.4250679</v>
      </c>
      <c r="M33" s="60">
        <f>INDEX('Financial Model'!368:368,'Acquisition Model'!M6)</f>
        <v>2977589285.4675746</v>
      </c>
      <c r="N33" s="60">
        <f>INDEX('Financial Model'!368:368,'Acquisition Model'!N6)</f>
        <v>3275348214.0143323</v>
      </c>
      <c r="O33" s="60">
        <f>INDEX('Financial Model'!368:368,'Acquisition Model'!O6)</f>
        <v>3602883035.4157658</v>
      </c>
    </row>
    <row r="34" spans="1:15" x14ac:dyDescent="0.3">
      <c r="B34" s="1" t="s">
        <v>332</v>
      </c>
      <c r="G34" s="60">
        <f>INDEX('Financial Model'!369:369,'Acquisition Model'!G6)</f>
        <v>1072378783.3672003</v>
      </c>
      <c r="H34" s="60">
        <f>INDEX('Financial Model'!369:369,'Acquisition Model'!H6)</f>
        <v>1107544403.4571455</v>
      </c>
      <c r="I34" s="60">
        <f>INDEX('Financial Model'!369:369,'Acquisition Model'!I6)</f>
        <v>1155248187.8523331</v>
      </c>
      <c r="J34" s="60">
        <f>INDEX('Financial Model'!369:369,'Acquisition Model'!J6)</f>
        <v>1215614679.2520137</v>
      </c>
      <c r="K34" s="60">
        <f>INDEX('Financial Model'!369:369,'Acquisition Model'!K6)</f>
        <v>1288922230.7967243</v>
      </c>
      <c r="L34" s="60">
        <f>INDEX('Financial Model'!369:369,'Acquisition Model'!L6)</f>
        <v>1375600692.9372776</v>
      </c>
      <c r="M34" s="60">
        <f>INDEX('Financial Model'!369:369,'Acquisition Model'!M6)</f>
        <v>1476231083.8485565</v>
      </c>
      <c r="N34" s="60">
        <f>INDEX('Financial Model'!369:369,'Acquisition Model'!N6)</f>
        <v>1591547164.4990678</v>
      </c>
      <c r="O34" s="60">
        <f>INDEX('Financial Model'!369:369,'Acquisition Model'!O6)</f>
        <v>1722438866.3020952</v>
      </c>
    </row>
    <row r="35" spans="1:15" x14ac:dyDescent="0.3">
      <c r="B35" s="1" t="s">
        <v>334</v>
      </c>
      <c r="G35" s="60">
        <f>INDEX('Financial Model'!370:370,'Acquisition Model'!G6)</f>
        <v>231823892.46811008</v>
      </c>
      <c r="H35" s="60">
        <f>INDEX('Financial Model'!370:370,'Acquisition Model'!H6)</f>
        <v>231823892.46811008</v>
      </c>
      <c r="I35" s="60">
        <f>INDEX('Financial Model'!370:370,'Acquisition Model'!I6)</f>
        <v>231823892.46811008</v>
      </c>
      <c r="J35" s="60">
        <f>INDEX('Financial Model'!370:370,'Acquisition Model'!J6)</f>
        <v>231823892.46811008</v>
      </c>
      <c r="K35" s="60">
        <f>INDEX('Financial Model'!370:370,'Acquisition Model'!K6)</f>
        <v>231823892.46811008</v>
      </c>
      <c r="L35" s="60">
        <f>INDEX('Financial Model'!370:370,'Acquisition Model'!L6)</f>
        <v>231823892.46811008</v>
      </c>
      <c r="M35" s="60">
        <f>INDEX('Financial Model'!370:370,'Acquisition Model'!M6)</f>
        <v>231823892.46811008</v>
      </c>
      <c r="N35" s="60">
        <f>INDEX('Financial Model'!370:370,'Acquisition Model'!N6)</f>
        <v>231823892.46811008</v>
      </c>
      <c r="O35" s="60">
        <f>INDEX('Financial Model'!370:370,'Acquisition Model'!O6)</f>
        <v>231823892.46811008</v>
      </c>
    </row>
    <row r="36" spans="1:15" x14ac:dyDescent="0.3">
      <c r="B36" s="1" t="s">
        <v>364</v>
      </c>
      <c r="G36" s="60">
        <f>INDEX('Financial Model'!376:376,'Acquisition Model'!G6)</f>
        <v>721332675.64099979</v>
      </c>
      <c r="H36" s="60">
        <f>INDEX('Financial Model'!376:376,'Acquisition Model'!H6)</f>
        <v>825621132.9516871</v>
      </c>
      <c r="I36" s="60">
        <f>INDEX('Financial Model'!376:376,'Acquisition Model'!I6)</f>
        <v>908183246.24685585</v>
      </c>
      <c r="J36" s="60">
        <f>INDEX('Financial Model'!376:376,'Acquisition Model'!J6)</f>
        <v>999001570.87154162</v>
      </c>
      <c r="K36" s="60">
        <f>INDEX('Financial Model'!376:376,'Acquisition Model'!K6)</f>
        <v>1098901727.9586959</v>
      </c>
      <c r="L36" s="60">
        <f>INDEX('Financial Model'!376:376,'Acquisition Model'!L6)</f>
        <v>1208791900.7545655</v>
      </c>
      <c r="M36" s="60">
        <f>INDEX('Financial Model'!376:376,'Acquisition Model'!M6)</f>
        <v>1329671090.8300221</v>
      </c>
      <c r="N36" s="60">
        <f>INDEX('Financial Model'!376:376,'Acquisition Model'!N6)</f>
        <v>1462638199.9130244</v>
      </c>
      <c r="O36" s="60">
        <f>INDEX('Financial Model'!376:376,'Acquisition Model'!O6)</f>
        <v>1608902019.9043269</v>
      </c>
    </row>
    <row r="37" spans="1:15" x14ac:dyDescent="0.3">
      <c r="B37" s="1" t="s">
        <v>333</v>
      </c>
      <c r="G37" s="60">
        <f>INDEX('Financial Model'!378:378,'Acquisition Model'!G6)</f>
        <v>0</v>
      </c>
      <c r="H37" s="60">
        <f>INDEX('Financial Model'!378:378,'Acquisition Model'!H6)</f>
        <v>0</v>
      </c>
      <c r="I37" s="60">
        <f>INDEX('Financial Model'!378:378,'Acquisition Model'!I6)</f>
        <v>0</v>
      </c>
      <c r="J37" s="60">
        <f>INDEX('Financial Model'!378:378,'Acquisition Model'!J6)</f>
        <v>0</v>
      </c>
      <c r="K37" s="60">
        <f>INDEX('Financial Model'!378:378,'Acquisition Model'!K6)</f>
        <v>0</v>
      </c>
      <c r="L37" s="60">
        <f>INDEX('Financial Model'!378:378,'Acquisition Model'!L6)</f>
        <v>0</v>
      </c>
      <c r="M37" s="60">
        <f>INDEX('Financial Model'!378:378,'Acquisition Model'!M6)</f>
        <v>0</v>
      </c>
      <c r="N37" s="60">
        <f>INDEX('Financial Model'!378:378,'Acquisition Model'!N6)</f>
        <v>0</v>
      </c>
      <c r="O37" s="60">
        <f>INDEX('Financial Model'!378:378,'Acquisition Model'!O6)</f>
        <v>0</v>
      </c>
    </row>
    <row r="38" spans="1:15" x14ac:dyDescent="0.3">
      <c r="B38" s="1" t="s">
        <v>336</v>
      </c>
      <c r="G38" s="60">
        <f>INDEX('Financial Model'!316:316,'Acquisition Model'!G6)</f>
        <v>199035728.0300006</v>
      </c>
      <c r="H38" s="60">
        <f>INDEX('Financial Model'!316:316,'Acquisition Model'!H6)</f>
        <v>168261807.34864902</v>
      </c>
      <c r="I38" s="60">
        <f>INDEX('Financial Model'!316:316,'Acquisition Model'!I6)</f>
        <v>185087988.08351395</v>
      </c>
      <c r="J38" s="60">
        <f>INDEX('Financial Model'!316:316,'Acquisition Model'!J6)</f>
        <v>203596786.89186537</v>
      </c>
      <c r="K38" s="60">
        <f>INDEX('Financial Model'!316:316,'Acquisition Model'!K6)</f>
        <v>223956465.58105192</v>
      </c>
      <c r="L38" s="60">
        <f>INDEX('Financial Model'!316:316,'Acquisition Model'!L6)</f>
        <v>246352112.13915712</v>
      </c>
      <c r="M38" s="60">
        <f>INDEX('Financial Model'!316:316,'Acquisition Model'!M6)</f>
        <v>270987323.35307288</v>
      </c>
      <c r="N38" s="60">
        <f>INDEX('Financial Model'!316:316,'Acquisition Model'!N6)</f>
        <v>298086055.68838018</v>
      </c>
      <c r="O38" s="60">
        <f>INDEX('Financial Model'!316:316,'Acquisition Model'!O6)</f>
        <v>327894661.25721824</v>
      </c>
    </row>
    <row r="39" spans="1:15" x14ac:dyDescent="0.3">
      <c r="B39" s="1"/>
    </row>
    <row r="40" spans="1:15" x14ac:dyDescent="0.3">
      <c r="A40" s="4" t="s">
        <v>343</v>
      </c>
      <c r="B40" s="1"/>
    </row>
    <row r="41" spans="1:15" x14ac:dyDescent="0.3">
      <c r="B41" s="1" t="s">
        <v>304</v>
      </c>
      <c r="H41" s="75">
        <f>LOOKUP(H2,'Structuring Assumptions'!56:56,'Structuring Assumptions'!63:63)</f>
        <v>-0.1</v>
      </c>
      <c r="I41" s="75">
        <f>LOOKUP(I2,'Structuring Assumptions'!56:56,'Structuring Assumptions'!63:63)</f>
        <v>0</v>
      </c>
      <c r="J41" s="75">
        <f>LOOKUP(J2,'Structuring Assumptions'!56:56,'Structuring Assumptions'!63:63)</f>
        <v>0.05</v>
      </c>
      <c r="K41" s="75">
        <f>LOOKUP(K2,'Structuring Assumptions'!56:56,'Structuring Assumptions'!63:63)</f>
        <v>0.12</v>
      </c>
      <c r="L41" s="75">
        <f>LOOKUP(L2,'Structuring Assumptions'!56:56,'Structuring Assumptions'!63:63)</f>
        <v>0.15</v>
      </c>
      <c r="M41" s="75">
        <f>LOOKUP(M2,'Structuring Assumptions'!56:56,'Structuring Assumptions'!63:63)</f>
        <v>0.15</v>
      </c>
      <c r="N41" s="75">
        <f>LOOKUP(N2,'Structuring Assumptions'!56:56,'Structuring Assumptions'!63:63)</f>
        <v>0.15</v>
      </c>
      <c r="O41" s="75">
        <f>LOOKUP(O2,'Structuring Assumptions'!56:56,'Structuring Assumptions'!63:63)</f>
        <v>0.15</v>
      </c>
    </row>
    <row r="42" spans="1:15" x14ac:dyDescent="0.3">
      <c r="B42" s="1" t="s">
        <v>342</v>
      </c>
      <c r="H42" s="58">
        <f>H27*(1+H41)</f>
        <v>981544575.56095827</v>
      </c>
      <c r="I42" s="58">
        <f t="shared" ref="I42:O42" si="3">I27*(1+I41)</f>
        <v>1203655219.4122267</v>
      </c>
      <c r="J42" s="58">
        <f t="shared" si="3"/>
        <v>1393886517.6662753</v>
      </c>
      <c r="K42" s="58">
        <f t="shared" si="3"/>
        <v>1638913255.5847356</v>
      </c>
      <c r="L42" s="58">
        <f t="shared" si="3"/>
        <v>1854165801.1833396</v>
      </c>
      <c r="M42" s="58">
        <f t="shared" si="3"/>
        <v>2042269680.7161489</v>
      </c>
      <c r="N42" s="58">
        <f t="shared" si="3"/>
        <v>2248847567.087534</v>
      </c>
      <c r="O42" s="58">
        <f t="shared" si="3"/>
        <v>2475788967.2884212</v>
      </c>
    </row>
    <row r="43" spans="1:15" x14ac:dyDescent="0.3">
      <c r="B43" s="1"/>
    </row>
    <row r="44" spans="1:15" x14ac:dyDescent="0.3">
      <c r="A44" s="4" t="s">
        <v>175</v>
      </c>
    </row>
    <row r="45" spans="1:15" x14ac:dyDescent="0.3">
      <c r="B45" s="1" t="s">
        <v>335</v>
      </c>
    </row>
    <row r="47" spans="1:15" x14ac:dyDescent="0.3">
      <c r="B47" s="1" t="s">
        <v>336</v>
      </c>
      <c r="G47" s="58"/>
      <c r="H47" s="58">
        <f>H38</f>
        <v>168261807.34864902</v>
      </c>
      <c r="I47" s="58">
        <f t="shared" ref="I47:O47" si="4">I38</f>
        <v>185087988.08351395</v>
      </c>
      <c r="J47" s="58">
        <f t="shared" si="4"/>
        <v>203596786.89186537</v>
      </c>
      <c r="K47" s="58">
        <f t="shared" si="4"/>
        <v>223956465.58105192</v>
      </c>
      <c r="L47" s="58">
        <f t="shared" si="4"/>
        <v>246352112.13915712</v>
      </c>
      <c r="M47" s="58">
        <f t="shared" si="4"/>
        <v>270987323.35307288</v>
      </c>
      <c r="N47" s="58">
        <f t="shared" si="4"/>
        <v>298086055.68838018</v>
      </c>
      <c r="O47" s="58">
        <f t="shared" si="4"/>
        <v>327894661.25721824</v>
      </c>
    </row>
    <row r="48" spans="1:15" x14ac:dyDescent="0.3">
      <c r="B48" s="1" t="s">
        <v>338</v>
      </c>
      <c r="G48" s="58"/>
      <c r="H48" s="58">
        <f>H51</f>
        <v>199035728.0300006</v>
      </c>
      <c r="I48" s="58">
        <f t="shared" ref="I48:O48" si="5">I51</f>
        <v>168261807.34864902</v>
      </c>
      <c r="J48" s="58">
        <f t="shared" si="5"/>
        <v>185087988.08351395</v>
      </c>
      <c r="K48" s="58">
        <f t="shared" si="5"/>
        <v>203596786.89186537</v>
      </c>
      <c r="L48" s="58">
        <f t="shared" si="5"/>
        <v>223956465.58105192</v>
      </c>
      <c r="M48" s="58">
        <f t="shared" si="5"/>
        <v>246352112.13915712</v>
      </c>
      <c r="N48" s="58">
        <f t="shared" si="5"/>
        <v>270987323.35307288</v>
      </c>
      <c r="O48" s="58">
        <f t="shared" si="5"/>
        <v>298086055.68838018</v>
      </c>
    </row>
    <row r="49" spans="2:15" x14ac:dyDescent="0.3">
      <c r="B49" s="1" t="s">
        <v>337</v>
      </c>
      <c r="G49" s="58"/>
      <c r="H49" s="58">
        <f>H47-H48</f>
        <v>-30773920.681351572</v>
      </c>
      <c r="I49" s="58">
        <f t="shared" ref="I49:O49" si="6">I47-I48</f>
        <v>16826180.73486492</v>
      </c>
      <c r="J49" s="58">
        <f t="shared" si="6"/>
        <v>18508798.808351427</v>
      </c>
      <c r="K49" s="58">
        <f t="shared" si="6"/>
        <v>20359678.689186543</v>
      </c>
      <c r="L49" s="58">
        <f t="shared" si="6"/>
        <v>22395646.558105201</v>
      </c>
      <c r="M49" s="58">
        <f t="shared" si="6"/>
        <v>24635211.213915765</v>
      </c>
      <c r="N49" s="58">
        <f t="shared" si="6"/>
        <v>27098732.3353073</v>
      </c>
      <c r="O49" s="58">
        <f t="shared" si="6"/>
        <v>29808605.56883806</v>
      </c>
    </row>
    <row r="50" spans="2:15" x14ac:dyDescent="0.3">
      <c r="B50" s="1"/>
      <c r="G50" s="58"/>
      <c r="H50" s="58"/>
      <c r="I50" s="58"/>
      <c r="J50" s="58"/>
      <c r="K50" s="58"/>
      <c r="L50" s="58"/>
      <c r="M50" s="58"/>
      <c r="N50" s="58"/>
      <c r="O50" s="58"/>
    </row>
    <row r="51" spans="2:15" x14ac:dyDescent="0.3">
      <c r="B51" s="1" t="s">
        <v>223</v>
      </c>
      <c r="G51" s="58"/>
      <c r="H51" s="58">
        <f>G53</f>
        <v>199035728.0300006</v>
      </c>
      <c r="I51" s="58">
        <f t="shared" ref="I51:O51" si="7">H53</f>
        <v>168261807.34864902</v>
      </c>
      <c r="J51" s="58">
        <f t="shared" si="7"/>
        <v>185087988.08351395</v>
      </c>
      <c r="K51" s="58">
        <f t="shared" si="7"/>
        <v>203596786.89186537</v>
      </c>
      <c r="L51" s="58">
        <f t="shared" si="7"/>
        <v>223956465.58105192</v>
      </c>
      <c r="M51" s="58">
        <f t="shared" si="7"/>
        <v>246352112.13915712</v>
      </c>
      <c r="N51" s="58">
        <f t="shared" si="7"/>
        <v>270987323.35307288</v>
      </c>
      <c r="O51" s="58">
        <f t="shared" si="7"/>
        <v>298086055.68838018</v>
      </c>
    </row>
    <row r="52" spans="2:15" x14ac:dyDescent="0.3">
      <c r="B52" s="1" t="s">
        <v>339</v>
      </c>
      <c r="G52" s="58"/>
      <c r="H52" s="58">
        <f>H91</f>
        <v>-30773920.681351572</v>
      </c>
      <c r="I52" s="58">
        <f t="shared" ref="I52:O52" si="8">I91</f>
        <v>16826180.73486492</v>
      </c>
      <c r="J52" s="58">
        <f t="shared" si="8"/>
        <v>18508798.808351427</v>
      </c>
      <c r="K52" s="58">
        <f t="shared" si="8"/>
        <v>20359678.689186543</v>
      </c>
      <c r="L52" s="58">
        <f t="shared" si="8"/>
        <v>22395646.558105201</v>
      </c>
      <c r="M52" s="58">
        <f t="shared" si="8"/>
        <v>24635211.213915765</v>
      </c>
      <c r="N52" s="58">
        <f t="shared" si="8"/>
        <v>27098732.3353073</v>
      </c>
      <c r="O52" s="58">
        <f t="shared" si="8"/>
        <v>29808605.56883806</v>
      </c>
    </row>
    <row r="53" spans="2:15" x14ac:dyDescent="0.3">
      <c r="B53" s="1" t="s">
        <v>226</v>
      </c>
      <c r="G53" s="58">
        <f>G10</f>
        <v>199035728.0300006</v>
      </c>
      <c r="H53" s="58">
        <f>H51+H52</f>
        <v>168261807.34864902</v>
      </c>
      <c r="I53" s="58">
        <f t="shared" ref="I53:O53" si="9">I51+I52</f>
        <v>185087988.08351395</v>
      </c>
      <c r="J53" s="58">
        <f t="shared" si="9"/>
        <v>203596786.89186537</v>
      </c>
      <c r="K53" s="58">
        <f t="shared" si="9"/>
        <v>223956465.58105192</v>
      </c>
      <c r="L53" s="58">
        <f t="shared" si="9"/>
        <v>246352112.13915712</v>
      </c>
      <c r="M53" s="58">
        <f t="shared" si="9"/>
        <v>270987323.35307288</v>
      </c>
      <c r="N53" s="58">
        <f t="shared" si="9"/>
        <v>298086055.68838018</v>
      </c>
      <c r="O53" s="58">
        <f t="shared" si="9"/>
        <v>327894661.25721824</v>
      </c>
    </row>
    <row r="54" spans="2:15" x14ac:dyDescent="0.3">
      <c r="G54" s="58"/>
      <c r="H54" s="58"/>
      <c r="I54" s="58"/>
      <c r="J54" s="58"/>
      <c r="K54" s="58"/>
      <c r="L54" s="58"/>
      <c r="M54" s="58"/>
      <c r="N54" s="58"/>
      <c r="O54" s="58"/>
    </row>
    <row r="55" spans="2:15" x14ac:dyDescent="0.3">
      <c r="B55" s="1" t="s">
        <v>228</v>
      </c>
      <c r="E55" s="73">
        <f>'Structuring Assumptions'!E36</f>
        <v>7.0000000000000007E-2</v>
      </c>
      <c r="G55" s="85"/>
      <c r="H55" s="58">
        <f>G53*$E$55</f>
        <v>13932500.962100044</v>
      </c>
      <c r="I55" s="58">
        <f t="shared" ref="I55:O55" si="10">H53*$E$55</f>
        <v>11778326.514405433</v>
      </c>
      <c r="J55" s="58">
        <f t="shared" si="10"/>
        <v>12956159.165845977</v>
      </c>
      <c r="K55" s="58">
        <f t="shared" si="10"/>
        <v>14251775.082430577</v>
      </c>
      <c r="L55" s="58">
        <f t="shared" si="10"/>
        <v>15676952.590673635</v>
      </c>
      <c r="M55" s="58">
        <f t="shared" si="10"/>
        <v>17244647.849741001</v>
      </c>
      <c r="N55" s="58">
        <f t="shared" si="10"/>
        <v>18969112.634715103</v>
      </c>
      <c r="O55" s="58">
        <f t="shared" si="10"/>
        <v>20866023.898186613</v>
      </c>
    </row>
    <row r="56" spans="2:15" x14ac:dyDescent="0.3">
      <c r="G56" s="58"/>
      <c r="H56" s="58"/>
      <c r="I56" s="58"/>
      <c r="J56" s="58"/>
      <c r="K56" s="58"/>
      <c r="L56" s="58"/>
      <c r="M56" s="58"/>
      <c r="N56" s="58"/>
      <c r="O56" s="58"/>
    </row>
    <row r="57" spans="2:15" x14ac:dyDescent="0.3">
      <c r="B57" s="1" t="s">
        <v>229</v>
      </c>
      <c r="G57" s="58"/>
      <c r="H57" s="58"/>
      <c r="I57" s="58"/>
      <c r="J57" s="58"/>
      <c r="K57" s="58"/>
      <c r="L57" s="58"/>
      <c r="M57" s="58"/>
      <c r="N57" s="58"/>
      <c r="O57" s="58"/>
    </row>
    <row r="58" spans="2:15" x14ac:dyDescent="0.3">
      <c r="C58" s="1" t="s">
        <v>223</v>
      </c>
      <c r="G58" s="58"/>
      <c r="H58" s="58">
        <f>G60</f>
        <v>7236958216.4423513</v>
      </c>
      <c r="I58" s="58">
        <f t="shared" ref="I58:O58" si="11">H60</f>
        <v>7631550562.4149427</v>
      </c>
      <c r="J58" s="58">
        <f t="shared" si="11"/>
        <v>7924774873.3260002</v>
      </c>
      <c r="K58" s="58">
        <f t="shared" si="11"/>
        <v>8122032230.8240576</v>
      </c>
      <c r="L58" s="58">
        <f t="shared" si="11"/>
        <v>8164518002.0486612</v>
      </c>
      <c r="M58" s="58">
        <f t="shared" si="11"/>
        <v>8061960643.8434916</v>
      </c>
      <c r="N58" s="58">
        <f t="shared" si="11"/>
        <v>0</v>
      </c>
      <c r="O58" s="58">
        <f t="shared" si="11"/>
        <v>0</v>
      </c>
    </row>
    <row r="59" spans="2:15" x14ac:dyDescent="0.3">
      <c r="C59" s="1" t="s">
        <v>341</v>
      </c>
      <c r="G59" s="58"/>
      <c r="H59" s="58">
        <f>H93</f>
        <v>-394592345.97259152</v>
      </c>
      <c r="I59" s="58">
        <f t="shared" ref="I59:O59" si="12">I93</f>
        <v>-293224310.91105795</v>
      </c>
      <c r="J59" s="58">
        <f t="shared" si="12"/>
        <v>-197257357.49805716</v>
      </c>
      <c r="K59" s="58">
        <f t="shared" si="12"/>
        <v>-42485771.224603884</v>
      </c>
      <c r="L59" s="58">
        <f t="shared" si="12"/>
        <v>102557358.20517014</v>
      </c>
      <c r="M59" s="58">
        <f t="shared" si="12"/>
        <v>8061960643.8434916</v>
      </c>
      <c r="N59" s="58">
        <f t="shared" si="12"/>
        <v>0</v>
      </c>
      <c r="O59" s="58">
        <f t="shared" si="12"/>
        <v>0</v>
      </c>
    </row>
    <row r="60" spans="2:15" x14ac:dyDescent="0.3">
      <c r="C60" s="1" t="s">
        <v>226</v>
      </c>
      <c r="G60" s="58">
        <f>G21</f>
        <v>7236958216.4423513</v>
      </c>
      <c r="H60" s="58">
        <f>H58-H59</f>
        <v>7631550562.4149427</v>
      </c>
      <c r="I60" s="58">
        <f t="shared" ref="I60:O60" si="13">I58-I59</f>
        <v>7924774873.3260002</v>
      </c>
      <c r="J60" s="58">
        <f t="shared" si="13"/>
        <v>8122032230.8240576</v>
      </c>
      <c r="K60" s="58">
        <f t="shared" si="13"/>
        <v>8164518002.0486612</v>
      </c>
      <c r="L60" s="58">
        <f t="shared" si="13"/>
        <v>8061960643.8434916</v>
      </c>
      <c r="M60" s="58">
        <f t="shared" si="13"/>
        <v>0</v>
      </c>
      <c r="N60" s="58">
        <f t="shared" si="13"/>
        <v>0</v>
      </c>
      <c r="O60" s="58">
        <f t="shared" si="13"/>
        <v>0</v>
      </c>
    </row>
    <row r="61" spans="2:15" x14ac:dyDescent="0.3">
      <c r="C61" s="1" t="s">
        <v>230</v>
      </c>
      <c r="E61" s="73">
        <f>'Structuring Assumptions'!E29</f>
        <v>0.15</v>
      </c>
      <c r="G61" s="58"/>
      <c r="H61" s="58">
        <f>$E$61*H58</f>
        <v>1085543732.4663527</v>
      </c>
      <c r="I61" s="58">
        <f t="shared" ref="I61:O61" si="14">$E$61*I58</f>
        <v>1144732584.3622413</v>
      </c>
      <c r="J61" s="58">
        <f t="shared" si="14"/>
        <v>1188716230.9988999</v>
      </c>
      <c r="K61" s="58">
        <f t="shared" si="14"/>
        <v>1218304834.6236086</v>
      </c>
      <c r="L61" s="58">
        <f t="shared" si="14"/>
        <v>1224677700.3072991</v>
      </c>
      <c r="M61" s="58">
        <f t="shared" si="14"/>
        <v>1209294096.5765238</v>
      </c>
      <c r="N61" s="58">
        <f t="shared" si="14"/>
        <v>0</v>
      </c>
      <c r="O61" s="58">
        <f t="shared" si="14"/>
        <v>0</v>
      </c>
    </row>
    <row r="62" spans="2:15" x14ac:dyDescent="0.3">
      <c r="C62" s="1"/>
      <c r="G62" s="58"/>
      <c r="H62" s="58"/>
      <c r="I62" s="58"/>
      <c r="J62" s="58"/>
      <c r="K62" s="58"/>
      <c r="L62" s="58"/>
      <c r="M62" s="58"/>
      <c r="N62" s="58"/>
      <c r="O62" s="58"/>
    </row>
    <row r="63" spans="2:15" x14ac:dyDescent="0.3">
      <c r="B63" s="1" t="s">
        <v>345</v>
      </c>
      <c r="C63" s="1"/>
      <c r="G63" s="58"/>
      <c r="H63" s="58"/>
      <c r="I63" s="58"/>
      <c r="J63" s="58"/>
      <c r="K63" s="58"/>
      <c r="L63" s="58"/>
      <c r="M63" s="58"/>
      <c r="N63" s="58"/>
      <c r="O63" s="58"/>
    </row>
    <row r="64" spans="2:15" x14ac:dyDescent="0.3">
      <c r="C64" s="1" t="s">
        <v>346</v>
      </c>
      <c r="G64" s="58">
        <f>G15</f>
        <v>144739164.32884702</v>
      </c>
      <c r="H64" s="58">
        <f>G64</f>
        <v>144739164.32884702</v>
      </c>
      <c r="I64" s="58">
        <f t="shared" ref="I64:O64" si="15">H64</f>
        <v>144739164.32884702</v>
      </c>
      <c r="J64" s="58">
        <f t="shared" si="15"/>
        <v>144739164.32884702</v>
      </c>
      <c r="K64" s="58">
        <f t="shared" si="15"/>
        <v>144739164.32884702</v>
      </c>
      <c r="L64" s="58">
        <f t="shared" si="15"/>
        <v>144739164.32884702</v>
      </c>
      <c r="M64" s="58">
        <f t="shared" si="15"/>
        <v>144739164.32884702</v>
      </c>
      <c r="N64" s="58">
        <f t="shared" si="15"/>
        <v>144739164.32884702</v>
      </c>
      <c r="O64" s="58">
        <f t="shared" si="15"/>
        <v>144739164.32884702</v>
      </c>
    </row>
    <row r="65" spans="1:15" x14ac:dyDescent="0.3">
      <c r="C65" s="1" t="s">
        <v>347</v>
      </c>
      <c r="E65" s="72">
        <f>'Structuring Assumptions'!E20</f>
        <v>6</v>
      </c>
      <c r="G65" s="58"/>
      <c r="H65" s="58">
        <f>MIN(H64/$E$65,G66)</f>
        <v>24123194.054807838</v>
      </c>
      <c r="I65" s="58">
        <f t="shared" ref="I65:O65" si="16">MIN(I64/$E$65,H66)</f>
        <v>24123194.054807838</v>
      </c>
      <c r="J65" s="58">
        <f t="shared" si="16"/>
        <v>24123194.054807838</v>
      </c>
      <c r="K65" s="58">
        <f t="shared" si="16"/>
        <v>24123194.054807838</v>
      </c>
      <c r="L65" s="58">
        <f t="shared" si="16"/>
        <v>24123194.054807838</v>
      </c>
      <c r="M65" s="58">
        <f t="shared" si="16"/>
        <v>24123194.054807816</v>
      </c>
      <c r="N65" s="58">
        <f t="shared" si="16"/>
        <v>0</v>
      </c>
      <c r="O65" s="58">
        <f t="shared" si="16"/>
        <v>0</v>
      </c>
    </row>
    <row r="66" spans="1:15" x14ac:dyDescent="0.3">
      <c r="C66" s="1" t="s">
        <v>348</v>
      </c>
      <c r="G66" s="58">
        <f>G64</f>
        <v>144739164.32884702</v>
      </c>
      <c r="H66" s="58">
        <f>G66-H65</f>
        <v>120615970.27403918</v>
      </c>
      <c r="I66" s="58">
        <f t="shared" ref="I66:O66" si="17">H66-I65</f>
        <v>96492776.219231337</v>
      </c>
      <c r="J66" s="58">
        <f t="shared" si="17"/>
        <v>72369582.164423496</v>
      </c>
      <c r="K66" s="58">
        <f t="shared" si="17"/>
        <v>48246388.109615654</v>
      </c>
      <c r="L66" s="58">
        <f t="shared" si="17"/>
        <v>24123194.054807816</v>
      </c>
      <c r="M66" s="58">
        <f t="shared" si="17"/>
        <v>0</v>
      </c>
      <c r="N66" s="58">
        <f t="shared" si="17"/>
        <v>0</v>
      </c>
      <c r="O66" s="58">
        <f t="shared" si="17"/>
        <v>0</v>
      </c>
    </row>
    <row r="67" spans="1:15" x14ac:dyDescent="0.3">
      <c r="C67" s="1"/>
      <c r="H67" s="58"/>
      <c r="I67" s="58"/>
      <c r="J67" s="58"/>
      <c r="K67" s="58"/>
      <c r="L67" s="58"/>
      <c r="M67" s="58"/>
      <c r="N67" s="58"/>
      <c r="O67" s="58"/>
    </row>
    <row r="68" spans="1:15" x14ac:dyDescent="0.3">
      <c r="A68" s="4" t="s">
        <v>234</v>
      </c>
      <c r="H68" s="58"/>
      <c r="I68" s="58"/>
      <c r="J68" s="58"/>
      <c r="K68" s="58"/>
      <c r="L68" s="58"/>
      <c r="M68" s="58"/>
      <c r="N68" s="58"/>
      <c r="O68" s="58"/>
    </row>
    <row r="69" spans="1:15" x14ac:dyDescent="0.3">
      <c r="B69" s="1" t="s">
        <v>222</v>
      </c>
      <c r="H69" s="58">
        <f>H42</f>
        <v>981544575.56095827</v>
      </c>
      <c r="I69" s="58">
        <f t="shared" ref="I69:O69" si="18">I42</f>
        <v>1203655219.4122267</v>
      </c>
      <c r="J69" s="58">
        <f t="shared" si="18"/>
        <v>1393886517.6662753</v>
      </c>
      <c r="K69" s="58">
        <f t="shared" si="18"/>
        <v>1638913255.5847356</v>
      </c>
      <c r="L69" s="58">
        <f t="shared" si="18"/>
        <v>1854165801.1833396</v>
      </c>
      <c r="M69" s="58">
        <f t="shared" si="18"/>
        <v>2042269680.7161489</v>
      </c>
      <c r="N69" s="58">
        <f t="shared" si="18"/>
        <v>2248847567.087534</v>
      </c>
      <c r="O69" s="58">
        <f t="shared" si="18"/>
        <v>2475788967.2884212</v>
      </c>
    </row>
    <row r="70" spans="1:15" x14ac:dyDescent="0.3">
      <c r="B70" s="1" t="s">
        <v>225</v>
      </c>
      <c r="H70" s="58">
        <f>H30</f>
        <v>134234379.91005492</v>
      </c>
      <c r="I70" s="58">
        <f t="shared" ref="I70:O70" si="19">I30</f>
        <v>138636215.60481241</v>
      </c>
      <c r="J70" s="58">
        <f t="shared" si="19"/>
        <v>144607508.6003195</v>
      </c>
      <c r="K70" s="58">
        <f t="shared" si="19"/>
        <v>152163848.45528948</v>
      </c>
      <c r="L70" s="58">
        <f t="shared" si="19"/>
        <v>161340077.85944685</v>
      </c>
      <c r="M70" s="58">
        <f t="shared" si="19"/>
        <v>172190003.08872122</v>
      </c>
      <c r="N70" s="58">
        <f t="shared" si="19"/>
        <v>184786352.74948895</v>
      </c>
      <c r="O70" s="58">
        <f t="shared" si="19"/>
        <v>199220974.93697295</v>
      </c>
    </row>
    <row r="71" spans="1:15" x14ac:dyDescent="0.3">
      <c r="B71" s="1" t="s">
        <v>344</v>
      </c>
      <c r="H71" s="58">
        <f>H65</f>
        <v>24123194.054807838</v>
      </c>
      <c r="I71" s="58">
        <f t="shared" ref="I71:O71" si="20">I65</f>
        <v>24123194.054807838</v>
      </c>
      <c r="J71" s="58">
        <f t="shared" si="20"/>
        <v>24123194.054807838</v>
      </c>
      <c r="K71" s="58">
        <f t="shared" si="20"/>
        <v>24123194.054807838</v>
      </c>
      <c r="L71" s="58">
        <f t="shared" si="20"/>
        <v>24123194.054807838</v>
      </c>
      <c r="M71" s="58">
        <f t="shared" si="20"/>
        <v>24123194.054807816</v>
      </c>
      <c r="N71" s="58">
        <f t="shared" si="20"/>
        <v>0</v>
      </c>
      <c r="O71" s="58">
        <f t="shared" si="20"/>
        <v>0</v>
      </c>
    </row>
    <row r="72" spans="1:15" x14ac:dyDescent="0.3">
      <c r="C72" s="79" t="s">
        <v>349</v>
      </c>
      <c r="D72" s="80"/>
      <c r="E72" s="80"/>
      <c r="F72" s="80"/>
      <c r="G72" s="80"/>
      <c r="H72" s="81">
        <f>H69-H70-H71</f>
        <v>823187001.59609556</v>
      </c>
      <c r="I72" s="81">
        <f t="shared" ref="I72:O72" si="21">I69-I70-I71</f>
        <v>1040895809.7526065</v>
      </c>
      <c r="J72" s="81">
        <f t="shared" si="21"/>
        <v>1225155815.0111477</v>
      </c>
      <c r="K72" s="81">
        <f t="shared" si="21"/>
        <v>1462626213.0746381</v>
      </c>
      <c r="L72" s="81">
        <f t="shared" si="21"/>
        <v>1668702529.2690849</v>
      </c>
      <c r="M72" s="81">
        <f t="shared" si="21"/>
        <v>1845956483.5726197</v>
      </c>
      <c r="N72" s="81">
        <f t="shared" si="21"/>
        <v>2064061214.3380451</v>
      </c>
      <c r="O72" s="81">
        <f t="shared" si="21"/>
        <v>2276567992.3514481</v>
      </c>
    </row>
    <row r="73" spans="1:15" x14ac:dyDescent="0.3">
      <c r="B73" s="1" t="s">
        <v>246</v>
      </c>
      <c r="H73" s="58">
        <f>H61</f>
        <v>1085543732.4663527</v>
      </c>
      <c r="I73" s="58">
        <f t="shared" ref="I73:O73" si="22">I61</f>
        <v>1144732584.3622413</v>
      </c>
      <c r="J73" s="58">
        <f t="shared" si="22"/>
        <v>1188716230.9988999</v>
      </c>
      <c r="K73" s="58">
        <f t="shared" si="22"/>
        <v>1218304834.6236086</v>
      </c>
      <c r="L73" s="58">
        <f t="shared" si="22"/>
        <v>1224677700.3072991</v>
      </c>
      <c r="M73" s="58">
        <f t="shared" si="22"/>
        <v>1209294096.5765238</v>
      </c>
      <c r="N73" s="58">
        <f t="shared" si="22"/>
        <v>0</v>
      </c>
      <c r="O73" s="58">
        <f t="shared" si="22"/>
        <v>0</v>
      </c>
    </row>
    <row r="74" spans="1:15" x14ac:dyDescent="0.3">
      <c r="B74" s="1" t="s">
        <v>247</v>
      </c>
      <c r="H74" s="58">
        <f>H55</f>
        <v>13932500.962100044</v>
      </c>
      <c r="I74" s="58">
        <f t="shared" ref="I74:O74" si="23">I55</f>
        <v>11778326.514405433</v>
      </c>
      <c r="J74" s="58">
        <f t="shared" si="23"/>
        <v>12956159.165845977</v>
      </c>
      <c r="K74" s="58">
        <f t="shared" si="23"/>
        <v>14251775.082430577</v>
      </c>
      <c r="L74" s="58">
        <f t="shared" si="23"/>
        <v>15676952.590673635</v>
      </c>
      <c r="M74" s="58">
        <f t="shared" si="23"/>
        <v>17244647.849741001</v>
      </c>
      <c r="N74" s="58">
        <f t="shared" si="23"/>
        <v>18969112.634715103</v>
      </c>
      <c r="O74" s="58">
        <f t="shared" si="23"/>
        <v>20866023.898186613</v>
      </c>
    </row>
    <row r="75" spans="1:15" x14ac:dyDescent="0.3">
      <c r="C75" s="79" t="s">
        <v>238</v>
      </c>
      <c r="D75" s="80"/>
      <c r="E75" s="80"/>
      <c r="F75" s="80"/>
      <c r="G75" s="80"/>
      <c r="H75" s="81">
        <f>H72-H73+H74</f>
        <v>-248424229.90815711</v>
      </c>
      <c r="I75" s="81">
        <f t="shared" ref="I75:O75" si="24">I72-I73+I74</f>
        <v>-92058448.095229328</v>
      </c>
      <c r="J75" s="81">
        <f t="shared" si="24"/>
        <v>49395743.178093776</v>
      </c>
      <c r="K75" s="81">
        <f t="shared" si="24"/>
        <v>258573153.53346011</v>
      </c>
      <c r="L75" s="81">
        <f t="shared" si="24"/>
        <v>459701781.55245942</v>
      </c>
      <c r="M75" s="81">
        <f t="shared" si="24"/>
        <v>653907034.84583688</v>
      </c>
      <c r="N75" s="81">
        <f t="shared" si="24"/>
        <v>2083030326.9727602</v>
      </c>
      <c r="O75" s="81">
        <f t="shared" si="24"/>
        <v>2297434016.2496347</v>
      </c>
    </row>
    <row r="76" spans="1:15" x14ac:dyDescent="0.3">
      <c r="B76" s="1" t="s">
        <v>350</v>
      </c>
      <c r="H76" s="58">
        <f>H75*H31</f>
        <v>-24842422.990815714</v>
      </c>
      <c r="I76" s="58">
        <f t="shared" ref="I76:O76" si="25">I75*I31</f>
        <v>-9205844.8095229324</v>
      </c>
      <c r="J76" s="58">
        <f t="shared" si="25"/>
        <v>4939574.3178093778</v>
      </c>
      <c r="K76" s="58">
        <f t="shared" si="25"/>
        <v>25857315.353346013</v>
      </c>
      <c r="L76" s="58">
        <f t="shared" si="25"/>
        <v>45970178.155245945</v>
      </c>
      <c r="M76" s="58">
        <f t="shared" si="25"/>
        <v>65390703.484583691</v>
      </c>
      <c r="N76" s="58">
        <f t="shared" si="25"/>
        <v>208303032.69727603</v>
      </c>
      <c r="O76" s="58">
        <f t="shared" si="25"/>
        <v>229743401.62496349</v>
      </c>
    </row>
    <row r="77" spans="1:15" ht="13.5" thickBot="1" x14ac:dyDescent="0.35">
      <c r="C77" s="48" t="s">
        <v>240</v>
      </c>
      <c r="D77" s="70"/>
      <c r="E77" s="70"/>
      <c r="F77" s="70"/>
      <c r="G77" s="70"/>
      <c r="H77" s="82">
        <f>H75-H76</f>
        <v>-223581806.91734141</v>
      </c>
      <c r="I77" s="82">
        <f t="shared" ref="I77:O77" si="26">I75-I76</f>
        <v>-82852603.285706401</v>
      </c>
      <c r="J77" s="82">
        <f t="shared" si="26"/>
        <v>44456168.860284396</v>
      </c>
      <c r="K77" s="82">
        <f t="shared" si="26"/>
        <v>232715838.18011409</v>
      </c>
      <c r="L77" s="82">
        <f t="shared" si="26"/>
        <v>413731603.39721346</v>
      </c>
      <c r="M77" s="82">
        <f t="shared" si="26"/>
        <v>588516331.36125314</v>
      </c>
      <c r="N77" s="82">
        <f t="shared" si="26"/>
        <v>1874727294.2754841</v>
      </c>
      <c r="O77" s="82">
        <f t="shared" si="26"/>
        <v>2067690614.6246712</v>
      </c>
    </row>
    <row r="78" spans="1:15" ht="13.5" thickTop="1" x14ac:dyDescent="0.3">
      <c r="H78" s="58"/>
      <c r="I78" s="58"/>
      <c r="J78" s="58"/>
      <c r="K78" s="58"/>
      <c r="L78" s="58"/>
      <c r="M78" s="58"/>
      <c r="N78" s="58"/>
      <c r="O78" s="58"/>
    </row>
    <row r="79" spans="1:15" x14ac:dyDescent="0.3">
      <c r="A79" s="4" t="s">
        <v>242</v>
      </c>
      <c r="H79" s="58"/>
      <c r="I79" s="58"/>
      <c r="J79" s="58"/>
      <c r="K79" s="58"/>
      <c r="L79" s="58"/>
      <c r="M79" s="58"/>
      <c r="N79" s="58"/>
      <c r="O79" s="58"/>
    </row>
    <row r="80" spans="1:15" x14ac:dyDescent="0.3">
      <c r="B80" s="1" t="s">
        <v>355</v>
      </c>
      <c r="H80" s="58">
        <f>H128</f>
        <v>1</v>
      </c>
      <c r="I80" s="58">
        <f t="shared" ref="I80:O80" si="27">I128</f>
        <v>1</v>
      </c>
      <c r="J80" s="58">
        <f t="shared" si="27"/>
        <v>1</v>
      </c>
      <c r="K80" s="58">
        <f t="shared" si="27"/>
        <v>1</v>
      </c>
      <c r="L80" s="58">
        <f t="shared" si="27"/>
        <v>1</v>
      </c>
      <c r="M80" s="58">
        <f t="shared" si="27"/>
        <v>0.7</v>
      </c>
      <c r="N80" s="58">
        <f t="shared" si="27"/>
        <v>0</v>
      </c>
      <c r="O80" s="58">
        <f t="shared" si="27"/>
        <v>0</v>
      </c>
    </row>
    <row r="81" spans="1:15" x14ac:dyDescent="0.3">
      <c r="H81" s="58"/>
      <c r="I81" s="58"/>
      <c r="J81" s="58"/>
      <c r="K81" s="58"/>
      <c r="L81" s="58"/>
      <c r="M81" s="58"/>
      <c r="N81" s="58"/>
      <c r="O81" s="58"/>
    </row>
    <row r="82" spans="1:15" x14ac:dyDescent="0.3">
      <c r="B82" s="1" t="s">
        <v>222</v>
      </c>
      <c r="H82" s="58">
        <f>H69</f>
        <v>981544575.56095827</v>
      </c>
      <c r="I82" s="58">
        <f t="shared" ref="I82:O82" si="28">I69</f>
        <v>1203655219.4122267</v>
      </c>
      <c r="J82" s="58">
        <f t="shared" si="28"/>
        <v>1393886517.6662753</v>
      </c>
      <c r="K82" s="58">
        <f t="shared" si="28"/>
        <v>1638913255.5847356</v>
      </c>
      <c r="L82" s="58">
        <f t="shared" si="28"/>
        <v>1854165801.1833396</v>
      </c>
      <c r="M82" s="58">
        <f t="shared" si="28"/>
        <v>2042269680.7161489</v>
      </c>
      <c r="N82" s="58">
        <f t="shared" si="28"/>
        <v>2248847567.087534</v>
      </c>
      <c r="O82" s="58">
        <f t="shared" si="28"/>
        <v>2475788967.2884212</v>
      </c>
    </row>
    <row r="83" spans="1:15" x14ac:dyDescent="0.3">
      <c r="B83" s="1" t="s">
        <v>239</v>
      </c>
      <c r="H83" s="58">
        <f>H76</f>
        <v>-24842422.990815714</v>
      </c>
      <c r="I83" s="58">
        <f t="shared" ref="I83:O83" si="29">I76</f>
        <v>-9205844.8095229324</v>
      </c>
      <c r="J83" s="58">
        <f t="shared" si="29"/>
        <v>4939574.3178093778</v>
      </c>
      <c r="K83" s="58">
        <f t="shared" si="29"/>
        <v>25857315.353346013</v>
      </c>
      <c r="L83" s="58">
        <f t="shared" si="29"/>
        <v>45970178.155245945</v>
      </c>
      <c r="M83" s="58">
        <f t="shared" si="29"/>
        <v>65390703.484583691</v>
      </c>
      <c r="N83" s="58">
        <f t="shared" si="29"/>
        <v>208303032.69727603</v>
      </c>
      <c r="O83" s="58">
        <f t="shared" si="29"/>
        <v>229743401.62496349</v>
      </c>
    </row>
    <row r="84" spans="1:15" x14ac:dyDescent="0.3">
      <c r="B84" s="1" t="s">
        <v>244</v>
      </c>
      <c r="H84" s="58">
        <f>H29</f>
        <v>169400000</v>
      </c>
      <c r="I84" s="58">
        <f t="shared" ref="I84:O84" si="30">I29</f>
        <v>186340000.00000003</v>
      </c>
      <c r="J84" s="58">
        <f t="shared" si="30"/>
        <v>204974000.00000006</v>
      </c>
      <c r="K84" s="58">
        <f t="shared" si="30"/>
        <v>225471400.00000009</v>
      </c>
      <c r="L84" s="58">
        <f t="shared" si="30"/>
        <v>248018540.00000012</v>
      </c>
      <c r="M84" s="58">
        <f t="shared" si="30"/>
        <v>272820394.00000018</v>
      </c>
      <c r="N84" s="58">
        <f t="shared" si="30"/>
        <v>300102433.40000021</v>
      </c>
      <c r="O84" s="58">
        <f t="shared" si="30"/>
        <v>330112676.74000025</v>
      </c>
    </row>
    <row r="85" spans="1:15" x14ac:dyDescent="0.3">
      <c r="B85" s="1" t="s">
        <v>243</v>
      </c>
      <c r="H85" s="58">
        <f>H28</f>
        <v>190742033.70146441</v>
      </c>
      <c r="I85" s="58">
        <f t="shared" ref="I85:O85" si="31">I28</f>
        <v>169964936.55010676</v>
      </c>
      <c r="J85" s="58">
        <f t="shared" si="31"/>
        <v>186961430.2051177</v>
      </c>
      <c r="K85" s="58">
        <f t="shared" si="31"/>
        <v>205657573.22562885</v>
      </c>
      <c r="L85" s="58">
        <f t="shared" si="31"/>
        <v>226223330.5481925</v>
      </c>
      <c r="M85" s="58">
        <f t="shared" si="31"/>
        <v>248845663.60301113</v>
      </c>
      <c r="N85" s="58">
        <f t="shared" si="31"/>
        <v>273730229.96331167</v>
      </c>
      <c r="O85" s="58">
        <f t="shared" si="31"/>
        <v>301103252.95964432</v>
      </c>
    </row>
    <row r="86" spans="1:15" x14ac:dyDescent="0.3">
      <c r="B86" s="1" t="s">
        <v>351</v>
      </c>
      <c r="E86" s="72">
        <f>'Structuring Assumptions'!E19</f>
        <v>7</v>
      </c>
      <c r="H86" s="58">
        <f>$E$86*H5*H82</f>
        <v>0</v>
      </c>
      <c r="I86" s="58">
        <f t="shared" ref="I86:O86" si="32">$E$86*I5*I82</f>
        <v>0</v>
      </c>
      <c r="J86" s="58">
        <f t="shared" si="32"/>
        <v>0</v>
      </c>
      <c r="K86" s="58">
        <f t="shared" si="32"/>
        <v>0</v>
      </c>
      <c r="L86" s="58">
        <f t="shared" si="32"/>
        <v>0</v>
      </c>
      <c r="M86" s="58">
        <f t="shared" si="32"/>
        <v>14295887765.013042</v>
      </c>
      <c r="N86" s="58">
        <f t="shared" si="32"/>
        <v>0</v>
      </c>
      <c r="O86" s="58">
        <f t="shared" si="32"/>
        <v>0</v>
      </c>
    </row>
    <row r="87" spans="1:15" ht="13.5" thickBot="1" x14ac:dyDescent="0.35">
      <c r="C87" s="14" t="s">
        <v>245</v>
      </c>
      <c r="D87" s="83"/>
      <c r="E87" s="83"/>
      <c r="F87" s="83"/>
      <c r="G87" s="83"/>
      <c r="H87" s="84">
        <f>H82-H83-H84-H85+H86</f>
        <v>646244964.85030961</v>
      </c>
      <c r="I87" s="84">
        <f t="shared" ref="I87:O87" si="33">I82-I83-I84-I85+I86</f>
        <v>856556127.67164278</v>
      </c>
      <c r="J87" s="84">
        <f t="shared" si="33"/>
        <v>997011513.14334822</v>
      </c>
      <c r="K87" s="84">
        <f t="shared" si="33"/>
        <v>1181926967.0057607</v>
      </c>
      <c r="L87" s="84">
        <f t="shared" si="33"/>
        <v>1333953752.4799008</v>
      </c>
      <c r="M87" s="84">
        <f t="shared" si="33"/>
        <v>15751100684.641596</v>
      </c>
      <c r="N87" s="84">
        <f t="shared" si="33"/>
        <v>1466711871.0269461</v>
      </c>
      <c r="O87" s="84">
        <f t="shared" si="33"/>
        <v>1614829635.9638133</v>
      </c>
    </row>
    <row r="88" spans="1:15" x14ac:dyDescent="0.3">
      <c r="B88" s="1" t="s">
        <v>246</v>
      </c>
      <c r="H88" s="58">
        <f>H73</f>
        <v>1085543732.4663527</v>
      </c>
      <c r="I88" s="58">
        <f t="shared" ref="I88:O88" si="34">I73</f>
        <v>1144732584.3622413</v>
      </c>
      <c r="J88" s="58">
        <f t="shared" si="34"/>
        <v>1188716230.9988999</v>
      </c>
      <c r="K88" s="58">
        <f t="shared" si="34"/>
        <v>1218304834.6236086</v>
      </c>
      <c r="L88" s="58">
        <f t="shared" si="34"/>
        <v>1224677700.3072991</v>
      </c>
      <c r="M88" s="58">
        <f t="shared" si="34"/>
        <v>1209294096.5765238</v>
      </c>
      <c r="N88" s="58">
        <f t="shared" si="34"/>
        <v>0</v>
      </c>
      <c r="O88" s="58">
        <f t="shared" si="34"/>
        <v>0</v>
      </c>
    </row>
    <row r="89" spans="1:15" x14ac:dyDescent="0.3">
      <c r="B89" s="1" t="s">
        <v>247</v>
      </c>
      <c r="H89" s="58">
        <f>H74</f>
        <v>13932500.962100044</v>
      </c>
      <c r="I89" s="58">
        <f t="shared" ref="I89:O89" si="35">I74</f>
        <v>11778326.514405433</v>
      </c>
      <c r="J89" s="58">
        <f t="shared" si="35"/>
        <v>12956159.165845977</v>
      </c>
      <c r="K89" s="58">
        <f t="shared" si="35"/>
        <v>14251775.082430577</v>
      </c>
      <c r="L89" s="58">
        <f t="shared" si="35"/>
        <v>15676952.590673635</v>
      </c>
      <c r="M89" s="58">
        <f t="shared" si="35"/>
        <v>17244647.849741001</v>
      </c>
      <c r="N89" s="58">
        <f t="shared" si="35"/>
        <v>18969112.634715103</v>
      </c>
      <c r="O89" s="58">
        <f t="shared" si="35"/>
        <v>20866023.898186613</v>
      </c>
    </row>
    <row r="90" spans="1:15" ht="13.5" thickBot="1" x14ac:dyDescent="0.35">
      <c r="C90" s="14" t="s">
        <v>248</v>
      </c>
      <c r="D90" s="83"/>
      <c r="E90" s="83"/>
      <c r="F90" s="83"/>
      <c r="G90" s="83"/>
      <c r="H90" s="84">
        <f>H87-H88+H89</f>
        <v>-425366266.65394306</v>
      </c>
      <c r="I90" s="84">
        <f t="shared" ref="I90:O90" si="36">I87-I88+I89</f>
        <v>-276398130.17619306</v>
      </c>
      <c r="J90" s="84">
        <f t="shared" si="36"/>
        <v>-178748558.68970573</v>
      </c>
      <c r="K90" s="84">
        <f t="shared" si="36"/>
        <v>-22126092.535417341</v>
      </c>
      <c r="L90" s="84">
        <f t="shared" si="36"/>
        <v>124953004.76327534</v>
      </c>
      <c r="M90" s="84">
        <f t="shared" si="36"/>
        <v>14559051235.914812</v>
      </c>
      <c r="N90" s="84">
        <f t="shared" si="36"/>
        <v>1485680983.6616611</v>
      </c>
      <c r="O90" s="84">
        <f t="shared" si="36"/>
        <v>1635695659.862</v>
      </c>
    </row>
    <row r="91" spans="1:15" x14ac:dyDescent="0.3">
      <c r="B91" s="1" t="s">
        <v>352</v>
      </c>
      <c r="H91" s="58">
        <f>H49</f>
        <v>-30773920.681351572</v>
      </c>
      <c r="I91" s="58">
        <f t="shared" ref="I91:O91" si="37">I49</f>
        <v>16826180.73486492</v>
      </c>
      <c r="J91" s="58">
        <f t="shared" si="37"/>
        <v>18508798.808351427</v>
      </c>
      <c r="K91" s="58">
        <f t="shared" si="37"/>
        <v>20359678.689186543</v>
      </c>
      <c r="L91" s="58">
        <f t="shared" si="37"/>
        <v>22395646.558105201</v>
      </c>
      <c r="M91" s="58">
        <f t="shared" si="37"/>
        <v>24635211.213915765</v>
      </c>
      <c r="N91" s="58">
        <f t="shared" si="37"/>
        <v>27098732.3353073</v>
      </c>
      <c r="O91" s="58">
        <f t="shared" si="37"/>
        <v>29808605.56883806</v>
      </c>
    </row>
    <row r="92" spans="1:15" ht="13.5" thickBot="1" x14ac:dyDescent="0.35">
      <c r="C92" s="14" t="s">
        <v>353</v>
      </c>
      <c r="D92" s="83"/>
      <c r="E92" s="83"/>
      <c r="F92" s="83"/>
      <c r="G92" s="83"/>
      <c r="H92" s="84">
        <f>H90-H91</f>
        <v>-394592345.97259152</v>
      </c>
      <c r="I92" s="84">
        <f t="shared" ref="I92:O92" si="38">I90-I91</f>
        <v>-293224310.91105795</v>
      </c>
      <c r="J92" s="84">
        <f t="shared" si="38"/>
        <v>-197257357.49805716</v>
      </c>
      <c r="K92" s="84">
        <f t="shared" si="38"/>
        <v>-42485771.224603884</v>
      </c>
      <c r="L92" s="84">
        <f t="shared" si="38"/>
        <v>102557358.20517014</v>
      </c>
      <c r="M92" s="84">
        <f t="shared" si="38"/>
        <v>14534416024.700897</v>
      </c>
      <c r="N92" s="84">
        <f t="shared" si="38"/>
        <v>1458582251.3263538</v>
      </c>
      <c r="O92" s="84">
        <f t="shared" si="38"/>
        <v>1605887054.2931619</v>
      </c>
    </row>
    <row r="93" spans="1:15" x14ac:dyDescent="0.3">
      <c r="B93" s="1" t="s">
        <v>354</v>
      </c>
      <c r="H93" s="58">
        <f>MIN(H92*H80,H58)</f>
        <v>-394592345.97259152</v>
      </c>
      <c r="I93" s="58">
        <f t="shared" ref="I93:O93" si="39">MIN(I92*I80,I58)</f>
        <v>-293224310.91105795</v>
      </c>
      <c r="J93" s="58">
        <f t="shared" si="39"/>
        <v>-197257357.49805716</v>
      </c>
      <c r="K93" s="58">
        <f t="shared" si="39"/>
        <v>-42485771.224603884</v>
      </c>
      <c r="L93" s="58">
        <f t="shared" si="39"/>
        <v>102557358.20517014</v>
      </c>
      <c r="M93" s="58">
        <f t="shared" si="39"/>
        <v>8061960643.8434916</v>
      </c>
      <c r="N93" s="58">
        <f t="shared" si="39"/>
        <v>0</v>
      </c>
      <c r="O93" s="58">
        <f t="shared" si="39"/>
        <v>0</v>
      </c>
    </row>
    <row r="94" spans="1:15" ht="13.5" thickBot="1" x14ac:dyDescent="0.35">
      <c r="C94" s="48" t="s">
        <v>356</v>
      </c>
      <c r="D94" s="70"/>
      <c r="E94" s="70"/>
      <c r="F94" s="70"/>
      <c r="G94" s="70"/>
      <c r="H94" s="82">
        <f>H92-H93</f>
        <v>0</v>
      </c>
      <c r="I94" s="82">
        <f t="shared" ref="I94:O94" si="40">I92-I93</f>
        <v>0</v>
      </c>
      <c r="J94" s="82">
        <f t="shared" si="40"/>
        <v>0</v>
      </c>
      <c r="K94" s="82">
        <f t="shared" si="40"/>
        <v>0</v>
      </c>
      <c r="L94" s="82">
        <f t="shared" si="40"/>
        <v>0</v>
      </c>
      <c r="M94" s="82">
        <f t="shared" si="40"/>
        <v>6472455380.8574057</v>
      </c>
      <c r="N94" s="82">
        <f t="shared" si="40"/>
        <v>1458582251.3263538</v>
      </c>
      <c r="O94" s="82">
        <f t="shared" si="40"/>
        <v>1605887054.2931619</v>
      </c>
    </row>
    <row r="95" spans="1:15" ht="13.5" thickTop="1" x14ac:dyDescent="0.3">
      <c r="H95" s="58"/>
      <c r="I95" s="58"/>
      <c r="J95" s="58"/>
      <c r="K95" s="58"/>
      <c r="L95" s="58"/>
      <c r="M95" s="58"/>
      <c r="N95" s="58"/>
      <c r="O95" s="58"/>
    </row>
    <row r="96" spans="1:15" x14ac:dyDescent="0.3">
      <c r="A96" s="4" t="s">
        <v>256</v>
      </c>
      <c r="H96" s="58"/>
      <c r="I96" s="58"/>
      <c r="J96" s="58"/>
      <c r="K96" s="58"/>
      <c r="L96" s="58"/>
      <c r="M96" s="58"/>
      <c r="N96" s="58"/>
      <c r="O96" s="58"/>
    </row>
    <row r="97" spans="2:15" x14ac:dyDescent="0.3">
      <c r="B97" s="1" t="s">
        <v>261</v>
      </c>
      <c r="H97" s="58"/>
      <c r="I97" s="58"/>
      <c r="J97" s="58"/>
      <c r="K97" s="58"/>
      <c r="L97" s="58"/>
      <c r="M97" s="58"/>
      <c r="N97" s="58"/>
      <c r="O97" s="58"/>
    </row>
    <row r="98" spans="2:15" x14ac:dyDescent="0.3">
      <c r="C98" s="1" t="s">
        <v>223</v>
      </c>
      <c r="H98" s="58">
        <f>G102</f>
        <v>1733339748.4259491</v>
      </c>
      <c r="I98" s="58">
        <f t="shared" ref="I98:O98" si="41">H102</f>
        <v>1509757941.5086076</v>
      </c>
      <c r="J98" s="58">
        <f t="shared" si="41"/>
        <v>1426905338.2229013</v>
      </c>
      <c r="K98" s="58">
        <f t="shared" si="41"/>
        <v>1471361507.0831857</v>
      </c>
      <c r="L98" s="58">
        <f t="shared" si="41"/>
        <v>1704077345.2632997</v>
      </c>
      <c r="M98" s="58">
        <f t="shared" si="41"/>
        <v>2117808948.6605132</v>
      </c>
      <c r="N98" s="58">
        <f t="shared" si="41"/>
        <v>10529757664.177402</v>
      </c>
      <c r="O98" s="58">
        <f t="shared" si="41"/>
        <v>10945902707.126534</v>
      </c>
    </row>
    <row r="99" spans="2:15" x14ac:dyDescent="0.3">
      <c r="C99" s="1" t="s">
        <v>357</v>
      </c>
      <c r="H99" s="58">
        <f>H77</f>
        <v>-223581806.91734141</v>
      </c>
      <c r="I99" s="58">
        <f t="shared" ref="I99:O99" si="42">I77</f>
        <v>-82852603.285706401</v>
      </c>
      <c r="J99" s="58">
        <f t="shared" si="42"/>
        <v>44456168.860284396</v>
      </c>
      <c r="K99" s="58">
        <f t="shared" si="42"/>
        <v>232715838.18011409</v>
      </c>
      <c r="L99" s="58">
        <f t="shared" si="42"/>
        <v>413731603.39721346</v>
      </c>
      <c r="M99" s="58">
        <f t="shared" si="42"/>
        <v>588516331.36125314</v>
      </c>
      <c r="N99" s="58">
        <f t="shared" si="42"/>
        <v>1874727294.2754841</v>
      </c>
      <c r="O99" s="58">
        <f t="shared" si="42"/>
        <v>2067690614.6246712</v>
      </c>
    </row>
    <row r="100" spans="2:15" x14ac:dyDescent="0.3">
      <c r="C100" s="1" t="s">
        <v>263</v>
      </c>
      <c r="H100" s="58">
        <f>H94</f>
        <v>0</v>
      </c>
      <c r="I100" s="58">
        <f t="shared" ref="I100:O100" si="43">I94</f>
        <v>0</v>
      </c>
      <c r="J100" s="58">
        <f t="shared" si="43"/>
        <v>0</v>
      </c>
      <c r="K100" s="58">
        <f t="shared" si="43"/>
        <v>0</v>
      </c>
      <c r="L100" s="58">
        <f t="shared" si="43"/>
        <v>0</v>
      </c>
      <c r="M100" s="58">
        <f t="shared" si="43"/>
        <v>6472455380.8574057</v>
      </c>
      <c r="N100" s="58">
        <f t="shared" si="43"/>
        <v>1458582251.3263538</v>
      </c>
      <c r="O100" s="58">
        <f t="shared" si="43"/>
        <v>1605887054.2931619</v>
      </c>
    </row>
    <row r="101" spans="2:15" x14ac:dyDescent="0.3">
      <c r="C101" s="1" t="s">
        <v>365</v>
      </c>
      <c r="H101" s="58">
        <f>H86</f>
        <v>0</v>
      </c>
      <c r="I101" s="58">
        <f t="shared" ref="I101:O101" si="44">I86</f>
        <v>0</v>
      </c>
      <c r="J101" s="58">
        <f t="shared" si="44"/>
        <v>0</v>
      </c>
      <c r="K101" s="58">
        <f t="shared" si="44"/>
        <v>0</v>
      </c>
      <c r="L101" s="58">
        <f t="shared" si="44"/>
        <v>0</v>
      </c>
      <c r="M101" s="58">
        <f t="shared" si="44"/>
        <v>14295887765.013042</v>
      </c>
      <c r="N101" s="58">
        <f t="shared" si="44"/>
        <v>0</v>
      </c>
      <c r="O101" s="58">
        <f t="shared" si="44"/>
        <v>0</v>
      </c>
    </row>
    <row r="102" spans="2:15" x14ac:dyDescent="0.3">
      <c r="C102" s="1" t="s">
        <v>226</v>
      </c>
      <c r="G102" s="58">
        <f>G23</f>
        <v>1733339748.4259491</v>
      </c>
      <c r="H102" s="58">
        <f>H98+H99-H100+H101</f>
        <v>1509757941.5086076</v>
      </c>
      <c r="I102" s="58">
        <f t="shared" ref="I102:O102" si="45">I98+I99-I100+I101</f>
        <v>1426905338.2229013</v>
      </c>
      <c r="J102" s="58">
        <f t="shared" si="45"/>
        <v>1471361507.0831857</v>
      </c>
      <c r="K102" s="58">
        <f t="shared" si="45"/>
        <v>1704077345.2632997</v>
      </c>
      <c r="L102" s="58">
        <f t="shared" si="45"/>
        <v>2117808948.6605132</v>
      </c>
      <c r="M102" s="58">
        <f t="shared" si="45"/>
        <v>10529757664.177402</v>
      </c>
      <c r="N102" s="58">
        <f t="shared" si="45"/>
        <v>10945902707.126534</v>
      </c>
      <c r="O102" s="58">
        <f t="shared" si="45"/>
        <v>11407706267.458044</v>
      </c>
    </row>
    <row r="103" spans="2:15" x14ac:dyDescent="0.3">
      <c r="H103" s="58"/>
      <c r="I103" s="58"/>
      <c r="J103" s="58"/>
      <c r="K103" s="58"/>
      <c r="L103" s="58"/>
      <c r="M103" s="58"/>
      <c r="N103" s="58"/>
      <c r="O103" s="58"/>
    </row>
    <row r="104" spans="2:15" x14ac:dyDescent="0.3">
      <c r="B104" t="s">
        <v>43</v>
      </c>
      <c r="H104" s="58"/>
      <c r="I104" s="58"/>
      <c r="J104" s="58"/>
      <c r="K104" s="58"/>
      <c r="L104" s="58"/>
      <c r="M104" s="58"/>
      <c r="N104" s="58"/>
      <c r="O104" s="58"/>
    </row>
    <row r="105" spans="2:15" x14ac:dyDescent="0.3">
      <c r="C105" t="s">
        <v>227</v>
      </c>
      <c r="G105" s="58">
        <f>G53</f>
        <v>199035728.0300006</v>
      </c>
      <c r="H105" s="58">
        <f>H53</f>
        <v>168261807.34864902</v>
      </c>
      <c r="I105" s="58">
        <f t="shared" ref="I105:O105" si="46">I53</f>
        <v>185087988.08351395</v>
      </c>
      <c r="J105" s="58">
        <f t="shared" si="46"/>
        <v>203596786.89186537</v>
      </c>
      <c r="K105" s="58">
        <f t="shared" si="46"/>
        <v>223956465.58105192</v>
      </c>
      <c r="L105" s="58">
        <f t="shared" si="46"/>
        <v>246352112.13915712</v>
      </c>
      <c r="M105" s="58">
        <f t="shared" si="46"/>
        <v>270987323.35307288</v>
      </c>
      <c r="N105" s="58">
        <f t="shared" si="46"/>
        <v>298086055.68838018</v>
      </c>
      <c r="O105" s="58">
        <f t="shared" si="46"/>
        <v>327894661.25721824</v>
      </c>
    </row>
    <row r="106" spans="2:15" x14ac:dyDescent="0.3">
      <c r="C106" t="s">
        <v>59</v>
      </c>
      <c r="G106" s="58">
        <f t="shared" ref="G106:H108" si="47">G32</f>
        <v>614928927.08496583</v>
      </c>
      <c r="H106" s="58">
        <f t="shared" si="47"/>
        <v>676421819.7934624</v>
      </c>
      <c r="I106" s="58">
        <f t="shared" ref="I106:O106" si="48">I32</f>
        <v>744064001.77280879</v>
      </c>
      <c r="J106" s="58">
        <f t="shared" si="48"/>
        <v>818470401.95008969</v>
      </c>
      <c r="K106" s="58">
        <f t="shared" si="48"/>
        <v>900317442.14509881</v>
      </c>
      <c r="L106" s="58">
        <f t="shared" si="48"/>
        <v>990349186.35960865</v>
      </c>
      <c r="M106" s="58">
        <f t="shared" si="48"/>
        <v>1089384104.9955695</v>
      </c>
      <c r="N106" s="58">
        <f t="shared" si="48"/>
        <v>1198322515.4951267</v>
      </c>
      <c r="O106" s="58">
        <f t="shared" si="48"/>
        <v>1318154767.0446396</v>
      </c>
    </row>
    <row r="107" spans="2:15" x14ac:dyDescent="0.3">
      <c r="C107" t="s">
        <v>167</v>
      </c>
      <c r="G107" s="58">
        <f t="shared" si="47"/>
        <v>1615311080.3556349</v>
      </c>
      <c r="H107" s="58">
        <f t="shared" si="47"/>
        <v>1848848678.6592903</v>
      </c>
      <c r="I107" s="58">
        <f t="shared" ref="I107:O107" si="49">I33</f>
        <v>2033733546.5252194</v>
      </c>
      <c r="J107" s="58">
        <f t="shared" si="49"/>
        <v>2237106901.1777415</v>
      </c>
      <c r="K107" s="58">
        <f t="shared" si="49"/>
        <v>2460817591.295516</v>
      </c>
      <c r="L107" s="58">
        <f t="shared" si="49"/>
        <v>2706899350.4250679</v>
      </c>
      <c r="M107" s="58">
        <f t="shared" si="49"/>
        <v>2977589285.4675746</v>
      </c>
      <c r="N107" s="58">
        <f t="shared" si="49"/>
        <v>3275348214.0143323</v>
      </c>
      <c r="O107" s="58">
        <f t="shared" si="49"/>
        <v>3602883035.4157658</v>
      </c>
    </row>
    <row r="108" spans="2:15" x14ac:dyDescent="0.3">
      <c r="C108" t="s">
        <v>257</v>
      </c>
      <c r="G108" s="58">
        <f t="shared" si="47"/>
        <v>1072378783.3672003</v>
      </c>
      <c r="H108" s="58">
        <f t="shared" si="47"/>
        <v>1107544403.4571455</v>
      </c>
      <c r="I108" s="58">
        <f t="shared" ref="I108:O108" si="50">I34</f>
        <v>1155248187.8523331</v>
      </c>
      <c r="J108" s="58">
        <f t="shared" si="50"/>
        <v>1215614679.2520137</v>
      </c>
      <c r="K108" s="58">
        <f t="shared" si="50"/>
        <v>1288922230.7967243</v>
      </c>
      <c r="L108" s="58">
        <f t="shared" si="50"/>
        <v>1375600692.9372776</v>
      </c>
      <c r="M108" s="58">
        <f t="shared" si="50"/>
        <v>1476231083.8485565</v>
      </c>
      <c r="N108" s="58">
        <f t="shared" si="50"/>
        <v>1591547164.4990678</v>
      </c>
      <c r="O108" s="58">
        <f t="shared" si="50"/>
        <v>1722438866.3020952</v>
      </c>
    </row>
    <row r="109" spans="2:15" x14ac:dyDescent="0.3">
      <c r="C109" t="s">
        <v>75</v>
      </c>
      <c r="G109" s="58">
        <f>$G$14</f>
        <v>5813413064.8745422</v>
      </c>
      <c r="H109" s="58">
        <f>$G$14</f>
        <v>5813413064.8745422</v>
      </c>
      <c r="I109" s="58">
        <f t="shared" ref="I109:O109" si="51">$G$14</f>
        <v>5813413064.8745422</v>
      </c>
      <c r="J109" s="58">
        <f t="shared" si="51"/>
        <v>5813413064.8745422</v>
      </c>
      <c r="K109" s="58">
        <f t="shared" si="51"/>
        <v>5813413064.8745422</v>
      </c>
      <c r="L109" s="58">
        <f t="shared" si="51"/>
        <v>5813413064.8745422</v>
      </c>
      <c r="M109" s="58">
        <f t="shared" si="51"/>
        <v>5813413064.8745422</v>
      </c>
      <c r="N109" s="58">
        <f t="shared" si="51"/>
        <v>5813413064.8745422</v>
      </c>
      <c r="O109" s="58">
        <f t="shared" si="51"/>
        <v>5813413064.8745422</v>
      </c>
    </row>
    <row r="110" spans="2:15" x14ac:dyDescent="0.3">
      <c r="C110" t="s">
        <v>312</v>
      </c>
      <c r="G110" s="58">
        <f>G66</f>
        <v>144739164.32884702</v>
      </c>
      <c r="H110" s="58">
        <f>H66</f>
        <v>120615970.27403918</v>
      </c>
      <c r="I110" s="58">
        <f t="shared" ref="I110:O110" si="52">I66</f>
        <v>96492776.219231337</v>
      </c>
      <c r="J110" s="58">
        <f t="shared" si="52"/>
        <v>72369582.164423496</v>
      </c>
      <c r="K110" s="58">
        <f t="shared" si="52"/>
        <v>48246388.109615654</v>
      </c>
      <c r="L110" s="58">
        <f t="shared" si="52"/>
        <v>24123194.054807816</v>
      </c>
      <c r="M110" s="58">
        <f t="shared" si="52"/>
        <v>0</v>
      </c>
      <c r="N110" s="58">
        <f t="shared" si="52"/>
        <v>0</v>
      </c>
      <c r="O110" s="58">
        <f t="shared" si="52"/>
        <v>0</v>
      </c>
    </row>
    <row r="111" spans="2:15" x14ac:dyDescent="0.3">
      <c r="C111" t="s">
        <v>258</v>
      </c>
      <c r="G111" s="58">
        <f>G35</f>
        <v>231823892.46811008</v>
      </c>
      <c r="H111" s="58">
        <f>H35</f>
        <v>231823892.46811008</v>
      </c>
      <c r="I111" s="58">
        <f t="shared" ref="I111:O111" si="53">I35</f>
        <v>231823892.46811008</v>
      </c>
      <c r="J111" s="58">
        <f t="shared" si="53"/>
        <v>231823892.46811008</v>
      </c>
      <c r="K111" s="58">
        <f t="shared" si="53"/>
        <v>231823892.46811008</v>
      </c>
      <c r="L111" s="58">
        <f t="shared" si="53"/>
        <v>231823892.46811008</v>
      </c>
      <c r="M111" s="58">
        <f t="shared" si="53"/>
        <v>231823892.46811008</v>
      </c>
      <c r="N111" s="58">
        <f t="shared" si="53"/>
        <v>231823892.46811008</v>
      </c>
      <c r="O111" s="58">
        <f t="shared" si="53"/>
        <v>231823892.46811008</v>
      </c>
    </row>
    <row r="112" spans="2:15" ht="13.5" thickBot="1" x14ac:dyDescent="0.35">
      <c r="D112" s="70" t="s">
        <v>199</v>
      </c>
      <c r="E112" s="70"/>
      <c r="F112" s="70"/>
      <c r="G112" s="82">
        <f>SUM(G105:G111)</f>
        <v>9691630640.5093002</v>
      </c>
      <c r="H112" s="82">
        <f>SUM(H105:H111)</f>
        <v>9966929636.8752365</v>
      </c>
      <c r="I112" s="82">
        <f t="shared" ref="I112:O112" si="54">SUM(I105:I111)</f>
        <v>10259863457.795757</v>
      </c>
      <c r="J112" s="82">
        <f t="shared" si="54"/>
        <v>10592395308.778786</v>
      </c>
      <c r="K112" s="82">
        <f t="shared" si="54"/>
        <v>10967497075.270657</v>
      </c>
      <c r="L112" s="82">
        <f t="shared" si="54"/>
        <v>11388561493.258572</v>
      </c>
      <c r="M112" s="82">
        <f t="shared" si="54"/>
        <v>11859428755.007427</v>
      </c>
      <c r="N112" s="82">
        <f t="shared" si="54"/>
        <v>12408540907.039558</v>
      </c>
      <c r="O112" s="82">
        <f t="shared" si="54"/>
        <v>13016608287.36237</v>
      </c>
    </row>
    <row r="113" spans="1:15" ht="13.5" thickTop="1" x14ac:dyDescent="0.3">
      <c r="H113" s="58"/>
      <c r="I113" s="58"/>
      <c r="J113" s="58"/>
      <c r="K113" s="58"/>
      <c r="L113" s="58"/>
      <c r="M113" s="58"/>
      <c r="N113" s="58"/>
      <c r="O113" s="58"/>
    </row>
    <row r="114" spans="1:15" x14ac:dyDescent="0.3">
      <c r="B114" t="s">
        <v>103</v>
      </c>
    </row>
    <row r="115" spans="1:15" x14ac:dyDescent="0.3">
      <c r="C115" t="s">
        <v>85</v>
      </c>
      <c r="G115" s="58">
        <f>G36</f>
        <v>721332675.64099979</v>
      </c>
      <c r="H115" s="58">
        <f>H36</f>
        <v>825621132.9516871</v>
      </c>
      <c r="I115" s="58">
        <f t="shared" ref="I115:O115" si="55">I36</f>
        <v>908183246.24685585</v>
      </c>
      <c r="J115" s="58">
        <f t="shared" si="55"/>
        <v>999001570.87154162</v>
      </c>
      <c r="K115" s="58">
        <f t="shared" si="55"/>
        <v>1098901727.9586959</v>
      </c>
      <c r="L115" s="58">
        <f t="shared" si="55"/>
        <v>1208791900.7545655</v>
      </c>
      <c r="M115" s="58">
        <f t="shared" si="55"/>
        <v>1329671090.8300221</v>
      </c>
      <c r="N115" s="58">
        <f t="shared" si="55"/>
        <v>1462638199.9130244</v>
      </c>
      <c r="O115" s="58">
        <f t="shared" si="55"/>
        <v>1608902019.9043269</v>
      </c>
    </row>
    <row r="116" spans="1:15" x14ac:dyDescent="0.3">
      <c r="C116" t="s">
        <v>259</v>
      </c>
      <c r="G116" s="58">
        <f>G60</f>
        <v>7236958216.4423513</v>
      </c>
      <c r="H116" s="58">
        <f>H60</f>
        <v>7631550562.4149427</v>
      </c>
      <c r="I116" s="58">
        <f t="shared" ref="I116:O116" si="56">I60</f>
        <v>7924774873.3260002</v>
      </c>
      <c r="J116" s="58">
        <f t="shared" si="56"/>
        <v>8122032230.8240576</v>
      </c>
      <c r="K116" s="58">
        <f t="shared" si="56"/>
        <v>8164518002.0486612</v>
      </c>
      <c r="L116" s="58">
        <f t="shared" si="56"/>
        <v>8061960643.8434916</v>
      </c>
      <c r="M116" s="58">
        <f t="shared" si="56"/>
        <v>0</v>
      </c>
      <c r="N116" s="58">
        <f t="shared" si="56"/>
        <v>0</v>
      </c>
      <c r="O116" s="58">
        <f t="shared" si="56"/>
        <v>0</v>
      </c>
    </row>
    <row r="117" spans="1:15" x14ac:dyDescent="0.3">
      <c r="C117" t="s">
        <v>260</v>
      </c>
      <c r="G117" s="58">
        <f>G37</f>
        <v>0</v>
      </c>
      <c r="H117" s="58">
        <f>H37</f>
        <v>0</v>
      </c>
      <c r="I117" s="58">
        <f t="shared" ref="I117:O117" si="57">I37</f>
        <v>0</v>
      </c>
      <c r="J117" s="58">
        <f t="shared" si="57"/>
        <v>0</v>
      </c>
      <c r="K117" s="58">
        <f t="shared" si="57"/>
        <v>0</v>
      </c>
      <c r="L117" s="58">
        <f t="shared" si="57"/>
        <v>0</v>
      </c>
      <c r="M117" s="58">
        <f t="shared" si="57"/>
        <v>0</v>
      </c>
      <c r="N117" s="58">
        <f t="shared" si="57"/>
        <v>0</v>
      </c>
      <c r="O117" s="58">
        <f t="shared" si="57"/>
        <v>0</v>
      </c>
    </row>
    <row r="118" spans="1:15" x14ac:dyDescent="0.3">
      <c r="C118" t="s">
        <v>107</v>
      </c>
      <c r="G118" s="58">
        <f>G102</f>
        <v>1733339748.4259491</v>
      </c>
      <c r="H118" s="58">
        <f>H102</f>
        <v>1509757941.5086076</v>
      </c>
      <c r="I118" s="58">
        <f t="shared" ref="I118:O118" si="58">I102</f>
        <v>1426905338.2229013</v>
      </c>
      <c r="J118" s="58">
        <f t="shared" si="58"/>
        <v>1471361507.0831857</v>
      </c>
      <c r="K118" s="58">
        <f t="shared" si="58"/>
        <v>1704077345.2632997</v>
      </c>
      <c r="L118" s="58">
        <f t="shared" si="58"/>
        <v>2117808948.6605132</v>
      </c>
      <c r="M118" s="58">
        <f t="shared" si="58"/>
        <v>10529757664.177402</v>
      </c>
      <c r="N118" s="58">
        <f t="shared" si="58"/>
        <v>10945902707.126534</v>
      </c>
      <c r="O118" s="58">
        <f t="shared" si="58"/>
        <v>11407706267.458044</v>
      </c>
    </row>
    <row r="119" spans="1:15" ht="13.5" thickBot="1" x14ac:dyDescent="0.35">
      <c r="D119" s="70" t="s">
        <v>199</v>
      </c>
      <c r="E119" s="70"/>
      <c r="F119" s="70"/>
      <c r="G119" s="82">
        <f>SUM(G115:G118)</f>
        <v>9691630640.5093002</v>
      </c>
      <c r="H119" s="82">
        <f>SUM(H115:H118)</f>
        <v>9966929636.8752365</v>
      </c>
      <c r="I119" s="82">
        <f t="shared" ref="I119:O119" si="59">SUM(I115:I118)</f>
        <v>10259863457.795757</v>
      </c>
      <c r="J119" s="82">
        <f t="shared" si="59"/>
        <v>10592395308.778784</v>
      </c>
      <c r="K119" s="82">
        <f t="shared" si="59"/>
        <v>10967497075.270657</v>
      </c>
      <c r="L119" s="82">
        <f t="shared" si="59"/>
        <v>11388561493.25857</v>
      </c>
      <c r="M119" s="82">
        <f t="shared" si="59"/>
        <v>11859428755.007425</v>
      </c>
      <c r="N119" s="82">
        <f t="shared" si="59"/>
        <v>12408540907.039558</v>
      </c>
      <c r="O119" s="82">
        <f t="shared" si="59"/>
        <v>13016608287.362371</v>
      </c>
    </row>
    <row r="120" spans="1:15" ht="13.5" thickTop="1" x14ac:dyDescent="0.3"/>
    <row r="121" spans="1:15" x14ac:dyDescent="0.3">
      <c r="C121" s="1" t="s">
        <v>102</v>
      </c>
      <c r="G121" s="58">
        <f>G119-G112</f>
        <v>0</v>
      </c>
      <c r="H121" s="58">
        <f t="shared" ref="H121:O121" si="60">H119-H112</f>
        <v>0</v>
      </c>
      <c r="I121" s="58">
        <f t="shared" si="60"/>
        <v>0</v>
      </c>
      <c r="J121" s="58">
        <f t="shared" si="60"/>
        <v>0</v>
      </c>
      <c r="K121" s="58">
        <f t="shared" si="60"/>
        <v>0</v>
      </c>
      <c r="L121" s="58">
        <f t="shared" si="60"/>
        <v>0</v>
      </c>
      <c r="M121" s="58">
        <f t="shared" si="60"/>
        <v>0</v>
      </c>
      <c r="N121" s="58">
        <f t="shared" si="60"/>
        <v>0</v>
      </c>
      <c r="O121" s="58">
        <f t="shared" si="60"/>
        <v>0</v>
      </c>
    </row>
    <row r="123" spans="1:15" x14ac:dyDescent="0.3">
      <c r="A123" s="4" t="s">
        <v>253</v>
      </c>
    </row>
    <row r="124" spans="1:15" x14ac:dyDescent="0.3">
      <c r="C124" s="1" t="s">
        <v>358</v>
      </c>
      <c r="G124" s="59">
        <f>G116/(G116+G118)</f>
        <v>0.80676898858717028</v>
      </c>
      <c r="H124" s="59">
        <f t="shared" ref="H124:O124" si="61">H116/(H116+H118)</f>
        <v>0.8348422503342271</v>
      </c>
      <c r="I124" s="59">
        <f t="shared" si="61"/>
        <v>0.84741722279374598</v>
      </c>
      <c r="J124" s="59">
        <f t="shared" si="61"/>
        <v>0.8466276327980512</v>
      </c>
      <c r="K124" s="59">
        <f t="shared" si="61"/>
        <v>0.82732321214006799</v>
      </c>
      <c r="L124" s="59">
        <f t="shared" si="61"/>
        <v>0.79195904883544832</v>
      </c>
      <c r="M124" s="59">
        <f t="shared" si="61"/>
        <v>0</v>
      </c>
      <c r="N124" s="59">
        <f t="shared" si="61"/>
        <v>0</v>
      </c>
      <c r="O124" s="59">
        <f t="shared" si="61"/>
        <v>0</v>
      </c>
    </row>
    <row r="125" spans="1:15" x14ac:dyDescent="0.3">
      <c r="C125" s="1" t="s">
        <v>359</v>
      </c>
      <c r="H125" s="3">
        <f>G116/H82</f>
        <v>7.3730306260481226</v>
      </c>
      <c r="I125" s="3">
        <f t="shared" ref="I125:O125" si="62">H116/I82</f>
        <v>6.3403127734050031</v>
      </c>
      <c r="J125" s="3">
        <f t="shared" si="62"/>
        <v>5.6853802464451073</v>
      </c>
      <c r="K125" s="3">
        <f t="shared" si="62"/>
        <v>4.9557425953738221</v>
      </c>
      <c r="L125" s="3">
        <f t="shared" si="62"/>
        <v>4.4033376070457226</v>
      </c>
      <c r="M125" s="3">
        <f t="shared" si="62"/>
        <v>3.9475494935695559</v>
      </c>
      <c r="N125" s="3">
        <f t="shared" si="62"/>
        <v>0</v>
      </c>
      <c r="O125" s="3">
        <f t="shared" si="62"/>
        <v>0</v>
      </c>
    </row>
    <row r="126" spans="1:15" x14ac:dyDescent="0.3">
      <c r="C126" s="1" t="s">
        <v>360</v>
      </c>
      <c r="H126" s="3">
        <f>IF(H73,H72/H73)</f>
        <v>0.75831767710160947</v>
      </c>
      <c r="I126" s="3">
        <f t="shared" ref="I126:O126" si="63">IF(I73,I72/I73)</f>
        <v>0.90929167560344693</v>
      </c>
      <c r="J126" s="3">
        <f t="shared" si="63"/>
        <v>1.0306545692420024</v>
      </c>
      <c r="K126" s="3">
        <f t="shared" si="63"/>
        <v>1.2005420741242578</v>
      </c>
      <c r="L126" s="3">
        <f t="shared" si="63"/>
        <v>1.3625646395377087</v>
      </c>
      <c r="M126" s="3">
        <f t="shared" si="63"/>
        <v>1.526474402544814</v>
      </c>
      <c r="N126" s="3" t="b">
        <f t="shared" si="63"/>
        <v>0</v>
      </c>
      <c r="O126" s="3" t="b">
        <f t="shared" si="63"/>
        <v>0</v>
      </c>
    </row>
    <row r="128" spans="1:15" x14ac:dyDescent="0.3">
      <c r="C128" s="1" t="s">
        <v>361</v>
      </c>
      <c r="H128" s="74">
        <f>IFERROR(LOOKUP(H125,'Structuring Assumptions'!32:32,'Structuring Assumptions'!33:33),0)</f>
        <v>1</v>
      </c>
      <c r="I128" s="74">
        <f>IFERROR(LOOKUP(I125,'Structuring Assumptions'!32:32,'Structuring Assumptions'!33:33),0)</f>
        <v>1</v>
      </c>
      <c r="J128" s="74">
        <f>IFERROR(LOOKUP(J125,'Structuring Assumptions'!32:32,'Structuring Assumptions'!33:33),0)</f>
        <v>1</v>
      </c>
      <c r="K128" s="74">
        <f>IFERROR(LOOKUP(K125,'Structuring Assumptions'!32:32,'Structuring Assumptions'!33:33),0)</f>
        <v>1</v>
      </c>
      <c r="L128" s="74">
        <f>IFERROR(LOOKUP(L125,'Structuring Assumptions'!32:32,'Structuring Assumptions'!33:33),0)</f>
        <v>1</v>
      </c>
      <c r="M128" s="74">
        <f>IFERROR(LOOKUP(M125,'Structuring Assumptions'!32:32,'Structuring Assumptions'!33:33),0)</f>
        <v>0.7</v>
      </c>
      <c r="N128" s="74">
        <f>IFERROR(LOOKUP(N125,'Structuring Assumptions'!32:32,'Structuring Assumptions'!33:33),0)</f>
        <v>0</v>
      </c>
      <c r="O128" s="74">
        <f>IFERROR(LOOKUP(O125,'Structuring Assumptions'!32:32,'Structuring Assumptions'!33:33),0)</f>
        <v>0</v>
      </c>
    </row>
    <row r="130" spans="3:15" x14ac:dyDescent="0.3">
      <c r="C130" s="1" t="s">
        <v>362</v>
      </c>
      <c r="G130" s="58">
        <f>-'Structuring Assumptions'!E47</f>
        <v>-1865723130.434041</v>
      </c>
      <c r="H130" s="58">
        <f>H94*H4</f>
        <v>0</v>
      </c>
      <c r="I130" s="58">
        <f t="shared" ref="I130:O130" si="64">I94*I4</f>
        <v>0</v>
      </c>
      <c r="J130" s="58">
        <f t="shared" si="64"/>
        <v>0</v>
      </c>
      <c r="K130" s="58">
        <f t="shared" si="64"/>
        <v>0</v>
      </c>
      <c r="L130" s="58">
        <f t="shared" si="64"/>
        <v>0</v>
      </c>
      <c r="M130" s="58">
        <f t="shared" si="64"/>
        <v>6472455380.8574057</v>
      </c>
      <c r="N130" s="58">
        <f t="shared" si="64"/>
        <v>0</v>
      </c>
      <c r="O130" s="58">
        <f t="shared" si="64"/>
        <v>0</v>
      </c>
    </row>
    <row r="131" spans="3:15" x14ac:dyDescent="0.3">
      <c r="C131" s="1" t="s">
        <v>363</v>
      </c>
      <c r="G131" s="59">
        <f>IRR(130:130)</f>
        <v>0.23037352718546766</v>
      </c>
    </row>
  </sheetData>
  <conditionalFormatting sqref="H4:O5">
    <cfRule type="containsText" dxfId="1" priority="1" operator="containsText" text="F">
      <formula>NOT(ISERROR(SEARCH("F",H4)))</formula>
    </cfRule>
    <cfRule type="containsText" dxfId="0" priority="2" operator="containsText" text="T">
      <formula>NOT(ISERROR(SEARCH("T",H4)))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30" r:id="rId3" name="Drop Down 22">
              <controlPr defaultSize="0" autoLine="0" autoPict="0">
                <anchor moveWithCells="1">
                  <from>
                    <xdr:col>3</xdr:col>
                    <xdr:colOff>933450</xdr:colOff>
                    <xdr:row>0</xdr:row>
                    <xdr:rowOff>120650</xdr:rowOff>
                  </from>
                  <to>
                    <xdr:col>5</xdr:col>
                    <xdr:colOff>317500</xdr:colOff>
                    <xdr:row>1</xdr:row>
                    <xdr:rowOff>165100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D3:T78"/>
  <sheetViews>
    <sheetView topLeftCell="A44" zoomScale="70" zoomScaleNormal="70" workbookViewId="0">
      <selection activeCell="D81" sqref="D81"/>
    </sheetView>
  </sheetViews>
  <sheetFormatPr defaultRowHeight="12.5" x14ac:dyDescent="0.25"/>
  <cols>
    <col min="1" max="3" width="1.453125" customWidth="1"/>
    <col min="9" max="12" width="15.08984375" bestFit="1" customWidth="1"/>
    <col min="13" max="20" width="15.7265625" bestFit="1" customWidth="1"/>
  </cols>
  <sheetData>
    <row r="3" spans="4:20" x14ac:dyDescent="0.25">
      <c r="E3" s="1" t="s">
        <v>119</v>
      </c>
      <c r="F3" s="1" t="s">
        <v>275</v>
      </c>
      <c r="I3">
        <f>'Financial Model'!I2</f>
        <v>2011</v>
      </c>
      <c r="J3">
        <f>'Financial Model'!J2</f>
        <v>2012</v>
      </c>
      <c r="K3">
        <f>'Financial Model'!K2</f>
        <v>2013</v>
      </c>
      <c r="L3">
        <f>'Financial Model'!L2</f>
        <v>2014</v>
      </c>
      <c r="M3">
        <f>'Financial Model'!M2</f>
        <v>2015</v>
      </c>
      <c r="N3">
        <f>'Financial Model'!N2</f>
        <v>2016</v>
      </c>
      <c r="O3">
        <f>'Financial Model'!O2</f>
        <v>2017</v>
      </c>
      <c r="P3">
        <f>'Financial Model'!P2</f>
        <v>2018</v>
      </c>
      <c r="Q3">
        <f>'Financial Model'!Q2</f>
        <v>2019</v>
      </c>
      <c r="R3">
        <f>'Financial Model'!R2</f>
        <v>2020</v>
      </c>
      <c r="S3">
        <f>'Financial Model'!S2</f>
        <v>2021</v>
      </c>
      <c r="T3">
        <f>'Financial Model'!T2</f>
        <v>2022</v>
      </c>
    </row>
    <row r="4" spans="4:20" x14ac:dyDescent="0.25">
      <c r="D4">
        <v>1</v>
      </c>
      <c r="E4">
        <f>MATCH(D4,'Financial Model'!$E$236:$E$327,0)</f>
        <v>1</v>
      </c>
      <c r="F4" t="str">
        <f>INDEX('Financial Model'!$D$236:$D$327,'Graph Data'!E4)</f>
        <v>Revenue Growth Index</v>
      </c>
      <c r="I4" s="3">
        <f>INDEX('Financial Model'!I$236:I$327,'Graph Data'!$E4)</f>
        <v>0</v>
      </c>
      <c r="J4" s="3">
        <f>INDEX('Financial Model'!J$236:J$327,'Graph Data'!$E4)</f>
        <v>1.0264678830381553</v>
      </c>
      <c r="K4" s="3">
        <f>INDEX('Financial Model'!K$236:K$327,'Graph Data'!$E4)</f>
        <v>1.4109684833500982</v>
      </c>
      <c r="L4" s="3">
        <f>INDEX('Financial Model'!L$236:L$327,'Graph Data'!$E4)</f>
        <v>0.93067437594038993</v>
      </c>
      <c r="M4" s="3">
        <f>INDEX('Financial Model'!M$236:M$327,'Graph Data'!$E4)</f>
        <v>1.1000000000000001</v>
      </c>
      <c r="N4" s="3">
        <f>INDEX('Financial Model'!N$236:N$327,'Graph Data'!$E4)</f>
        <v>1.1000000000000001</v>
      </c>
      <c r="O4" s="3">
        <f>INDEX('Financial Model'!O$236:O$327,'Graph Data'!$E4)</f>
        <v>1.1000000000000001</v>
      </c>
      <c r="P4" s="3">
        <f>INDEX('Financial Model'!P$236:P$327,'Graph Data'!$E4)</f>
        <v>1.1000000000000001</v>
      </c>
      <c r="Q4" s="3">
        <f>INDEX('Financial Model'!Q$236:Q$327,'Graph Data'!$E4)</f>
        <v>1.1000000000000001</v>
      </c>
      <c r="R4" s="3">
        <f>INDEX('Financial Model'!R$236:R$327,'Graph Data'!$E4)</f>
        <v>1.1000000000000001</v>
      </c>
      <c r="S4" s="3">
        <f>INDEX('Financial Model'!S$236:S$327,'Graph Data'!$E4)</f>
        <v>1.1000000000000001</v>
      </c>
      <c r="T4" s="3">
        <f>INDEX('Financial Model'!T$236:T$327,'Graph Data'!$E4)</f>
        <v>1.1000000000000001</v>
      </c>
    </row>
    <row r="5" spans="4:20" x14ac:dyDescent="0.25">
      <c r="D5">
        <f>D4+1</f>
        <v>2</v>
      </c>
      <c r="E5">
        <f>MATCH(D5,'Financial Model'!$E$236:$E$327,0)</f>
        <v>2</v>
      </c>
      <c r="F5" t="str">
        <f>INDEX('Financial Model'!$D$236:$D$327,'Graph Data'!E5)</f>
        <v>Revenues Gross</v>
      </c>
      <c r="I5" s="3">
        <f>INDEX('Financial Model'!I$236:I$327,'Graph Data'!$E5)</f>
        <v>3784294503.7239799</v>
      </c>
      <c r="J5" s="3">
        <f>INDEX('Financial Model'!J$236:J$327,'Graph Data'!$E5)</f>
        <v>3884456768.0304799</v>
      </c>
      <c r="K5" s="3">
        <f>INDEX('Financial Model'!K$236:K$327,'Graph Data'!$E5)</f>
        <v>5480846074.6269903</v>
      </c>
      <c r="L5" s="3">
        <f>INDEX('Financial Model'!L$236:L$327,'Graph Data'!$E5)</f>
        <v>5100883000.1288099</v>
      </c>
      <c r="M5" s="3">
        <f>INDEX('Financial Model'!M$236:M$327,'Graph Data'!$E5)</f>
        <v>5610971300.1416912</v>
      </c>
      <c r="N5" s="3">
        <f>INDEX('Financial Model'!N$236:N$327,'Graph Data'!$E5)</f>
        <v>6172068430.1558609</v>
      </c>
      <c r="O5" s="3">
        <f>INDEX('Financial Model'!O$236:O$327,'Graph Data'!$E5)</f>
        <v>6789275273.1714478</v>
      </c>
      <c r="P5" s="3">
        <f>INDEX('Financial Model'!P$236:P$327,'Graph Data'!$E5)</f>
        <v>7468202800.4885931</v>
      </c>
      <c r="Q5" s="3">
        <f>INDEX('Financial Model'!Q$236:Q$327,'Graph Data'!$E5)</f>
        <v>8215023080.5374527</v>
      </c>
      <c r="R5" s="3">
        <f>INDEX('Financial Model'!R$236:R$327,'Graph Data'!$E5)</f>
        <v>9036525388.591198</v>
      </c>
      <c r="S5" s="3">
        <f>INDEX('Financial Model'!S$236:S$327,'Graph Data'!$E5)</f>
        <v>9940177927.4503193</v>
      </c>
      <c r="T5" s="3">
        <f>INDEX('Financial Model'!T$236:T$327,'Graph Data'!$E5)</f>
        <v>10934195720.195353</v>
      </c>
    </row>
    <row r="6" spans="4:20" x14ac:dyDescent="0.25">
      <c r="D6">
        <f t="shared" ref="D6:D68" si="0">D5+1</f>
        <v>3</v>
      </c>
      <c r="E6">
        <f>MATCH(D6,'Financial Model'!$E$236:$E$327,0)</f>
        <v>5</v>
      </c>
      <c r="F6" t="str">
        <f>INDEX('Financial Model'!$D$236:$D$327,'Graph Data'!E6)</f>
        <v>Losses as Pct of Revenues</v>
      </c>
      <c r="I6" s="3">
        <f>INDEX('Financial Model'!I$236:I$327,'Graph Data'!$E6)</f>
        <v>-5.644657684273623E-3</v>
      </c>
      <c r="J6" s="3">
        <f>INDEX('Financial Model'!J$236:J$327,'Graph Data'!$E6)</f>
        <v>-1.1451346393167262E-3</v>
      </c>
      <c r="K6" s="3">
        <f>INDEX('Financial Model'!K$236:K$327,'Graph Data'!$E6)</f>
        <v>-4.2040334076647365E-4</v>
      </c>
      <c r="L6" s="3">
        <f>INDEX('Financial Model'!L$236:L$327,'Graph Data'!$E6)</f>
        <v>-1.6363832692867523E-4</v>
      </c>
      <c r="M6" s="3">
        <f>INDEX('Financial Model'!M$236:M$327,'Graph Data'!$E6)</f>
        <v>-4.0000000000000002E-4</v>
      </c>
      <c r="N6" s="3">
        <f>INDEX('Financial Model'!N$236:N$327,'Graph Data'!$E6)</f>
        <v>-4.0000000000000002E-4</v>
      </c>
      <c r="O6" s="3">
        <f>INDEX('Financial Model'!O$236:O$327,'Graph Data'!$E6)</f>
        <v>-4.0000000000000002E-4</v>
      </c>
      <c r="P6" s="3">
        <f>INDEX('Financial Model'!P$236:P$327,'Graph Data'!$E6)</f>
        <v>-4.0000000000000002E-4</v>
      </c>
      <c r="Q6" s="3">
        <f>INDEX('Financial Model'!Q$236:Q$327,'Graph Data'!$E6)</f>
        <v>-4.0000000000000002E-4</v>
      </c>
      <c r="R6" s="3">
        <f>INDEX('Financial Model'!R$236:R$327,'Graph Data'!$E6)</f>
        <v>-4.0000000000000002E-4</v>
      </c>
      <c r="S6" s="3">
        <f>INDEX('Financial Model'!S$236:S$327,'Graph Data'!$E6)</f>
        <v>-4.0000000000000002E-4</v>
      </c>
      <c r="T6" s="3">
        <f>INDEX('Financial Model'!T$236:T$327,'Graph Data'!$E6)</f>
        <v>-4.0000000000000002E-4</v>
      </c>
    </row>
    <row r="7" spans="4:20" x14ac:dyDescent="0.25">
      <c r="D7">
        <f t="shared" si="0"/>
        <v>4</v>
      </c>
      <c r="E7">
        <f>MATCH(D7,'Financial Model'!$E$236:$E$327,0)</f>
        <v>6</v>
      </c>
      <c r="F7" t="str">
        <f>INDEX('Financial Model'!$D$236:$D$327,'Graph Data'!E7)</f>
        <v>Lossses and Return Amount</v>
      </c>
      <c r="I7" s="3">
        <f>INDEX('Financial Model'!I$236:I$327,'Graph Data'!$E7)</f>
        <v>-21361047.050000001</v>
      </c>
      <c r="J7" s="3">
        <f>INDEX('Financial Model'!J$236:J$327,'Graph Data'!$E7)</f>
        <v>-4448226</v>
      </c>
      <c r="K7" s="3">
        <f>INDEX('Financial Model'!K$236:K$327,'Graph Data'!$E7)</f>
        <v>-2304166</v>
      </c>
      <c r="L7" s="3">
        <f>INDEX('Financial Model'!L$236:L$327,'Graph Data'!$E7)</f>
        <v>-834699.96</v>
      </c>
      <c r="M7" s="3">
        <f>INDEX('Financial Model'!M$236:M$327,'Graph Data'!$E7)</f>
        <v>-2244388.5200566766</v>
      </c>
      <c r="N7" s="3">
        <f>INDEX('Financial Model'!N$236:N$327,'Graph Data'!$E7)</f>
        <v>-2468827.3720623446</v>
      </c>
      <c r="O7" s="3">
        <f>INDEX('Financial Model'!O$236:O$327,'Graph Data'!$E7)</f>
        <v>-2715710.1092685792</v>
      </c>
      <c r="P7" s="3">
        <f>INDEX('Financial Model'!P$236:P$327,'Graph Data'!$E7)</f>
        <v>-2987281.1201954372</v>
      </c>
      <c r="Q7" s="3">
        <f>INDEX('Financial Model'!Q$236:Q$327,'Graph Data'!$E7)</f>
        <v>-3286009.2322149812</v>
      </c>
      <c r="R7" s="3">
        <f>INDEX('Financial Model'!R$236:R$327,'Graph Data'!$E7)</f>
        <v>-3614610.1554364795</v>
      </c>
      <c r="S7" s="3">
        <f>INDEX('Financial Model'!S$236:S$327,'Graph Data'!$E7)</f>
        <v>-3976071.170980128</v>
      </c>
      <c r="T7" s="3">
        <f>INDEX('Financial Model'!T$236:T$327,'Graph Data'!$E7)</f>
        <v>-4373678.2880781414</v>
      </c>
    </row>
    <row r="8" spans="4:20" x14ac:dyDescent="0.25">
      <c r="D8">
        <f t="shared" si="0"/>
        <v>5</v>
      </c>
      <c r="E8">
        <f>MATCH(D8,'Financial Model'!$E$236:$E$327,0)</f>
        <v>9</v>
      </c>
      <c r="F8" t="str">
        <f>INDEX('Financial Model'!$D$236:$D$327,'Graph Data'!E8)</f>
        <v>COGS as Pct of Revenues</v>
      </c>
      <c r="I8" s="3">
        <f>INDEX('Financial Model'!I$236:I$327,'Graph Data'!$E8)</f>
        <v>0.2529261210902265</v>
      </c>
      <c r="J8" s="3">
        <f>INDEX('Financial Model'!J$236:J$327,'Graph Data'!$E8)</f>
        <v>0.22674418194674159</v>
      </c>
      <c r="K8" s="3">
        <f>INDEX('Financial Model'!K$236:K$327,'Graph Data'!$E8)</f>
        <v>0.28300499490989145</v>
      </c>
      <c r="L8" s="3">
        <f>INDEX('Financial Model'!L$236:L$327,'Graph Data'!$E8)</f>
        <v>0.26909493377809252</v>
      </c>
      <c r="M8" s="3">
        <f>INDEX('Financial Model'!M$236:M$327,'Graph Data'!$E8)</f>
        <v>0.28000000000000003</v>
      </c>
      <c r="N8" s="3">
        <f>INDEX('Financial Model'!N$236:N$327,'Graph Data'!$E8)</f>
        <v>0.28000000000000003</v>
      </c>
      <c r="O8" s="3">
        <f>INDEX('Financial Model'!O$236:O$327,'Graph Data'!$E8)</f>
        <v>0.28000000000000003</v>
      </c>
      <c r="P8" s="3">
        <f>INDEX('Financial Model'!P$236:P$327,'Graph Data'!$E8)</f>
        <v>0.28000000000000003</v>
      </c>
      <c r="Q8" s="3">
        <f>INDEX('Financial Model'!Q$236:Q$327,'Graph Data'!$E8)</f>
        <v>0.28000000000000003</v>
      </c>
      <c r="R8" s="3">
        <f>INDEX('Financial Model'!R$236:R$327,'Graph Data'!$E8)</f>
        <v>0.28000000000000003</v>
      </c>
      <c r="S8" s="3">
        <f>INDEX('Financial Model'!S$236:S$327,'Graph Data'!$E8)</f>
        <v>0.28000000000000003</v>
      </c>
      <c r="T8" s="3">
        <f>INDEX('Financial Model'!T$236:T$327,'Graph Data'!$E8)</f>
        <v>0.28000000000000003</v>
      </c>
    </row>
    <row r="9" spans="4:20" x14ac:dyDescent="0.25">
      <c r="D9">
        <f t="shared" si="0"/>
        <v>6</v>
      </c>
      <c r="E9">
        <f>MATCH(D9,'Financial Model'!$E$236:$E$327,0)</f>
        <v>10</v>
      </c>
      <c r="F9" t="str">
        <f>INDEX('Financial Model'!$D$236:$D$327,'Graph Data'!E9)</f>
        <v>COGS Amount</v>
      </c>
      <c r="I9" s="3">
        <f>INDEX('Financial Model'!I$236:I$327,'Graph Data'!$E9)</f>
        <v>957146929.88996994</v>
      </c>
      <c r="J9" s="3">
        <f>INDEX('Financial Model'!J$236:J$327,'Graph Data'!$E9)</f>
        <v>880777972.17455494</v>
      </c>
      <c r="K9" s="3">
        <f>INDEX('Financial Model'!K$236:K$327,'Graph Data'!$E9)</f>
        <v>1551106815.45171</v>
      </c>
      <c r="L9" s="3">
        <f>INDEX('Financial Model'!L$236:L$327,'Graph Data'!$E9)</f>
        <v>1372621773.1294601</v>
      </c>
      <c r="M9" s="3">
        <f>INDEX('Financial Model'!M$236:M$327,'Graph Data'!$E9)</f>
        <v>1571071964.0396738</v>
      </c>
      <c r="N9" s="3">
        <f>INDEX('Financial Model'!N$236:N$327,'Graph Data'!$E9)</f>
        <v>1728179160.4436412</v>
      </c>
      <c r="O9" s="3">
        <f>INDEX('Financial Model'!O$236:O$327,'Graph Data'!$E9)</f>
        <v>1900997076.4880056</v>
      </c>
      <c r="P9" s="3">
        <f>INDEX('Financial Model'!P$236:P$327,'Graph Data'!$E9)</f>
        <v>2091096784.1368062</v>
      </c>
      <c r="Q9" s="3">
        <f>INDEX('Financial Model'!Q$236:Q$327,'Graph Data'!$E9)</f>
        <v>2300206462.550487</v>
      </c>
      <c r="R9" s="3">
        <f>INDEX('Financial Model'!R$236:R$327,'Graph Data'!$E9)</f>
        <v>2530227108.8055358</v>
      </c>
      <c r="S9" s="3">
        <f>INDEX('Financial Model'!S$236:S$327,'Graph Data'!$E9)</f>
        <v>2783249819.6860895</v>
      </c>
      <c r="T9" s="3">
        <f>INDEX('Financial Model'!T$236:T$327,'Graph Data'!$E9)</f>
        <v>3061574801.6546988</v>
      </c>
    </row>
    <row r="10" spans="4:20" x14ac:dyDescent="0.25">
      <c r="D10">
        <f t="shared" si="0"/>
        <v>7</v>
      </c>
      <c r="E10">
        <f>MATCH(D10,'Financial Model'!$E$236:$E$327,0)</f>
        <v>12</v>
      </c>
      <c r="F10" t="str">
        <f>INDEX('Financial Model'!$D$236:$D$327,'Graph Data'!E10)</f>
        <v>Salaries Percent Increase</v>
      </c>
      <c r="I10" s="3">
        <f>INDEX('Financial Model'!I$236:I$327,'Graph Data'!$E10)</f>
        <v>0</v>
      </c>
      <c r="J10" s="3">
        <f>INDEX('Financial Model'!J$236:J$327,'Graph Data'!$E10)</f>
        <v>0.3775387365994658</v>
      </c>
      <c r="K10" s="3">
        <f>INDEX('Financial Model'!K$236:K$327,'Graph Data'!$E10)</f>
        <v>5.5071278472516028E-2</v>
      </c>
      <c r="L10" s="3">
        <f>INDEX('Financial Model'!L$236:L$327,'Graph Data'!$E10)</f>
        <v>6.1762726914900146E-3</v>
      </c>
      <c r="M10" s="3">
        <f>INDEX('Financial Model'!M$236:M$327,'Graph Data'!$E10)</f>
        <v>0.1</v>
      </c>
      <c r="N10" s="3">
        <f>INDEX('Financial Model'!N$236:N$327,'Graph Data'!$E10)</f>
        <v>0.1</v>
      </c>
      <c r="O10" s="3">
        <f>INDEX('Financial Model'!O$236:O$327,'Graph Data'!$E10)</f>
        <v>0.1</v>
      </c>
      <c r="P10" s="3">
        <f>INDEX('Financial Model'!P$236:P$327,'Graph Data'!$E10)</f>
        <v>0.1</v>
      </c>
      <c r="Q10" s="3">
        <f>INDEX('Financial Model'!Q$236:Q$327,'Graph Data'!$E10)</f>
        <v>0.1</v>
      </c>
      <c r="R10" s="3">
        <f>INDEX('Financial Model'!R$236:R$327,'Graph Data'!$E10)</f>
        <v>0.1</v>
      </c>
      <c r="S10" s="3">
        <f>INDEX('Financial Model'!S$236:S$327,'Graph Data'!$E10)</f>
        <v>0.1</v>
      </c>
      <c r="T10" s="3">
        <f>INDEX('Financial Model'!T$236:T$327,'Graph Data'!$E10)</f>
        <v>0.1</v>
      </c>
    </row>
    <row r="11" spans="4:20" x14ac:dyDescent="0.25">
      <c r="D11">
        <f t="shared" si="0"/>
        <v>8</v>
      </c>
      <c r="E11">
        <f>MATCH(D11,'Financial Model'!$E$236:$E$327,0)</f>
        <v>13</v>
      </c>
      <c r="F11" t="str">
        <f>INDEX('Financial Model'!$D$236:$D$327,'Graph Data'!E11)</f>
        <v>Salaries Amount</v>
      </c>
      <c r="I11" s="3">
        <f>INDEX('Financial Model'!I$236:I$327,'Graph Data'!$E11)</f>
        <v>862981910.15999997</v>
      </c>
      <c r="J11" s="3">
        <f>INDEX('Financial Model'!J$236:J$327,'Graph Data'!$E11)</f>
        <v>1188791010.23</v>
      </c>
      <c r="K11" s="3">
        <f>INDEX('Financial Model'!K$236:K$327,'Graph Data'!$E11)</f>
        <v>1254259251</v>
      </c>
      <c r="L11" s="3">
        <f>INDEX('Financial Model'!L$236:L$327,'Graph Data'!$E11)</f>
        <v>1262005898.1600001</v>
      </c>
      <c r="M11" s="3">
        <f>INDEX('Financial Model'!M$236:M$327,'Graph Data'!$E11)</f>
        <v>1388206487.9760003</v>
      </c>
      <c r="N11" s="3">
        <f>INDEX('Financial Model'!N$236:N$327,'Graph Data'!$E11)</f>
        <v>1527027136.7736006</v>
      </c>
      <c r="O11" s="3">
        <f>INDEX('Financial Model'!O$236:O$327,'Graph Data'!$E11)</f>
        <v>1679729850.4509609</v>
      </c>
      <c r="P11" s="3">
        <f>INDEX('Financial Model'!P$236:P$327,'Graph Data'!$E11)</f>
        <v>1847702835.496057</v>
      </c>
      <c r="Q11" s="3">
        <f>INDEX('Financial Model'!Q$236:Q$327,'Graph Data'!$E11)</f>
        <v>2032473119.0456629</v>
      </c>
      <c r="R11" s="3">
        <f>INDEX('Financial Model'!R$236:R$327,'Graph Data'!$E11)</f>
        <v>2235720430.9502292</v>
      </c>
      <c r="S11" s="3">
        <f>INDEX('Financial Model'!S$236:S$327,'Graph Data'!$E11)</f>
        <v>2459292474.0452523</v>
      </c>
      <c r="T11" s="3">
        <f>INDEX('Financial Model'!T$236:T$327,'Graph Data'!$E11)</f>
        <v>2705221721.4497776</v>
      </c>
    </row>
    <row r="12" spans="4:20" x14ac:dyDescent="0.25">
      <c r="D12">
        <f t="shared" si="0"/>
        <v>9</v>
      </c>
      <c r="E12">
        <f>MATCH(D12,'Financial Model'!$E$236:$E$327,0)</f>
        <v>15</v>
      </c>
      <c r="F12" t="str">
        <f>INDEX('Financial Model'!$D$236:$D$327,'Graph Data'!E12)</f>
        <v>Social Remuneriation as % of Salaries</v>
      </c>
      <c r="I12" s="3">
        <f>INDEX('Financial Model'!I$236:I$327,'Graph Data'!$E12)</f>
        <v>8.3517057138123879E-2</v>
      </c>
      <c r="J12" s="3">
        <f>INDEX('Financial Model'!J$236:J$327,'Graph Data'!$E12)</f>
        <v>9.3138366766903943E-2</v>
      </c>
      <c r="K12" s="3">
        <f>INDEX('Financial Model'!K$236:K$327,'Graph Data'!$E12)</f>
        <v>0.12196438496908482</v>
      </c>
      <c r="L12" s="3">
        <f>INDEX('Financial Model'!L$236:L$327,'Graph Data'!$E12)</f>
        <v>0.12244102296612992</v>
      </c>
      <c r="M12" s="3">
        <f>INDEX('Financial Model'!M$236:M$327,'Graph Data'!$E12)</f>
        <v>0.10526520796006064</v>
      </c>
      <c r="N12" s="3">
        <f>INDEX('Financial Model'!N$236:N$327,'Graph Data'!$E12)</f>
        <v>0.10526520796006064</v>
      </c>
      <c r="O12" s="3">
        <f>INDEX('Financial Model'!O$236:O$327,'Graph Data'!$E12)</f>
        <v>0.10526520796006064</v>
      </c>
      <c r="P12" s="3">
        <f>INDEX('Financial Model'!P$236:P$327,'Graph Data'!$E12)</f>
        <v>0.10526520796006064</v>
      </c>
      <c r="Q12" s="3">
        <f>INDEX('Financial Model'!Q$236:Q$327,'Graph Data'!$E12)</f>
        <v>0.10526520796006064</v>
      </c>
      <c r="R12" s="3">
        <f>INDEX('Financial Model'!R$236:R$327,'Graph Data'!$E12)</f>
        <v>0.10526520796006064</v>
      </c>
      <c r="S12" s="3">
        <f>INDEX('Financial Model'!S$236:S$327,'Graph Data'!$E12)</f>
        <v>0.10526520796006064</v>
      </c>
      <c r="T12" s="3">
        <f>INDEX('Financial Model'!T$236:T$327,'Graph Data'!$E12)</f>
        <v>0.10526520796006064</v>
      </c>
    </row>
    <row r="13" spans="4:20" x14ac:dyDescent="0.25">
      <c r="D13">
        <f t="shared" si="0"/>
        <v>10</v>
      </c>
      <c r="E13">
        <f>MATCH(D13,'Financial Model'!$E$236:$E$327,0)</f>
        <v>16</v>
      </c>
      <c r="F13" t="str">
        <f>INDEX('Financial Model'!$D$236:$D$327,'Graph Data'!E13)</f>
        <v>Social Remuneriation Expense</v>
      </c>
      <c r="I13" s="3">
        <f>INDEX('Financial Model'!I$236:I$327,'Graph Data'!$E13)</f>
        <v>72073709.5</v>
      </c>
      <c r="J13" s="3">
        <f>INDEX('Financial Model'!J$236:J$327,'Graph Data'!$E13)</f>
        <v>110722053.12</v>
      </c>
      <c r="K13" s="3">
        <f>INDEX('Financial Model'!K$236:K$327,'Graph Data'!$E13)</f>
        <v>152974958.13999999</v>
      </c>
      <c r="L13" s="3">
        <f>INDEX('Financial Model'!L$236:L$327,'Graph Data'!$E13)</f>
        <v>154521293.16</v>
      </c>
      <c r="M13" s="3">
        <f>INDEX('Financial Model'!M$236:M$327,'Graph Data'!$E13)</f>
        <v>146129844.6482991</v>
      </c>
      <c r="N13" s="3">
        <f>INDEX('Financial Model'!N$236:N$327,'Graph Data'!$E13)</f>
        <v>160742829.11312902</v>
      </c>
      <c r="O13" s="3">
        <f>INDEX('Financial Model'!O$236:O$327,'Graph Data'!$E13)</f>
        <v>176817112.02444196</v>
      </c>
      <c r="P13" s="3">
        <f>INDEX('Financial Model'!P$236:P$327,'Graph Data'!$E13)</f>
        <v>194498823.22688615</v>
      </c>
      <c r="Q13" s="3">
        <f>INDEX('Financial Model'!Q$236:Q$327,'Graph Data'!$E13)</f>
        <v>213948705.54957479</v>
      </c>
      <c r="R13" s="3">
        <f>INDEX('Financial Model'!R$236:R$327,'Graph Data'!$E13)</f>
        <v>235343576.10453227</v>
      </c>
      <c r="S13" s="3">
        <f>INDEX('Financial Model'!S$236:S$327,'Graph Data'!$E13)</f>
        <v>258877933.71498552</v>
      </c>
      <c r="T13" s="3">
        <f>INDEX('Financial Model'!T$236:T$327,'Graph Data'!$E13)</f>
        <v>284765727.08648407</v>
      </c>
    </row>
    <row r="14" spans="4:20" x14ac:dyDescent="0.25">
      <c r="D14">
        <f t="shared" si="0"/>
        <v>11</v>
      </c>
      <c r="E14">
        <f>MATCH(D14,'Financial Model'!$E$236:$E$327,0)</f>
        <v>18</v>
      </c>
      <c r="F14" t="str">
        <f>INDEX('Financial Model'!$D$236:$D$327,'Graph Data'!E14)</f>
        <v>Maintenance Percent of Fixed Assets</v>
      </c>
      <c r="I14" s="3">
        <f>INDEX('Financial Model'!I$236:I$327,'Graph Data'!$E14)</f>
        <v>6.7171690267931933E-2</v>
      </c>
      <c r="J14" s="3">
        <f>INDEX('Financial Model'!J$236:J$327,'Graph Data'!$E14)</f>
        <v>6.2093593567199283E-2</v>
      </c>
      <c r="K14" s="3">
        <f>INDEX('Financial Model'!K$236:K$327,'Graph Data'!$E14)</f>
        <v>6.9031922821020705E-2</v>
      </c>
      <c r="L14" s="3">
        <f>INDEX('Financial Model'!L$236:L$327,'Graph Data'!$E14)</f>
        <v>5.4808934734291409E-2</v>
      </c>
      <c r="M14" s="3">
        <f>INDEX('Financial Model'!M$236:M$327,'Graph Data'!$E14)</f>
        <v>6.3276535347610824E-2</v>
      </c>
      <c r="N14" s="3">
        <f>INDEX('Financial Model'!N$236:N$327,'Graph Data'!$E14)</f>
        <v>6.3276535347610824E-2</v>
      </c>
      <c r="O14" s="3">
        <f>INDEX('Financial Model'!O$236:O$327,'Graph Data'!$E14)</f>
        <v>6.3276535347610824E-2</v>
      </c>
      <c r="P14" s="3">
        <f>INDEX('Financial Model'!P$236:P$327,'Graph Data'!$E14)</f>
        <v>6.3276535347610824E-2</v>
      </c>
      <c r="Q14" s="3">
        <f>INDEX('Financial Model'!Q$236:Q$327,'Graph Data'!$E14)</f>
        <v>6.3276535347610824E-2</v>
      </c>
      <c r="R14" s="3">
        <f>INDEX('Financial Model'!R$236:R$327,'Graph Data'!$E14)</f>
        <v>6.3276535347610824E-2</v>
      </c>
      <c r="S14" s="3">
        <f>INDEX('Financial Model'!S$236:S$327,'Graph Data'!$E14)</f>
        <v>6.3276535347610824E-2</v>
      </c>
      <c r="T14" s="3">
        <f>INDEX('Financial Model'!T$236:T$327,'Graph Data'!$E14)</f>
        <v>6.3276535347610824E-2</v>
      </c>
    </row>
    <row r="15" spans="4:20" x14ac:dyDescent="0.25">
      <c r="D15">
        <f t="shared" si="0"/>
        <v>12</v>
      </c>
      <c r="E15">
        <f>MATCH(D15,'Financial Model'!$E$236:$E$327,0)</f>
        <v>19</v>
      </c>
      <c r="F15" t="str">
        <f>INDEX('Financial Model'!$D$236:$D$327,'Graph Data'!E15)</f>
        <v>Maintenance Amount</v>
      </c>
      <c r="I15" s="3">
        <f>INDEX('Financial Model'!I$236:I$327,'Graph Data'!$E15)</f>
        <v>56614895.447899997</v>
      </c>
      <c r="J15" s="3">
        <f>INDEX('Financial Model'!J$236:J$327,'Graph Data'!$E15)</f>
        <v>64368583.720739998</v>
      </c>
      <c r="K15" s="3">
        <f>INDEX('Financial Model'!K$236:K$327,'Graph Data'!$E15)</f>
        <v>71339300.051720902</v>
      </c>
      <c r="L15" s="3">
        <f>INDEX('Financial Model'!L$236:L$327,'Graph Data'!$E15)</f>
        <v>58775938.748011701</v>
      </c>
      <c r="M15" s="3">
        <f>INDEX('Financial Model'!M$236:M$327,'Graph Data'!$E15)</f>
        <v>70081572.594404608</v>
      </c>
      <c r="N15" s="3">
        <f>INDEX('Financial Model'!N$236:N$327,'Graph Data'!$E15)</f>
        <v>73100102.793901503</v>
      </c>
      <c r="O15" s="3">
        <f>INDEX('Financial Model'!O$236:O$327,'Graph Data'!$E15)</f>
        <v>76919885.220764637</v>
      </c>
      <c r="P15" s="3">
        <f>INDEX('Financial Model'!P$236:P$327,'Graph Data'!$E15)</f>
        <v>81558533.097330317</v>
      </c>
      <c r="Q15" s="3">
        <f>INDEX('Financial Model'!Q$236:Q$327,'Graph Data'!$E15)</f>
        <v>87043245.870843589</v>
      </c>
      <c r="R15" s="3">
        <f>INDEX('Financial Model'!R$236:R$327,'Graph Data'!$E15)</f>
        <v>93410788.358385026</v>
      </c>
      <c r="S15" s="3">
        <f>INDEX('Financial Model'!S$236:S$327,'Graph Data'!$E15)</f>
        <v>100707590.41181505</v>
      </c>
      <c r="T15" s="3">
        <f>INDEX('Financial Model'!T$236:T$327,'Graph Data'!$E15)</f>
        <v>108989963.80766323</v>
      </c>
    </row>
    <row r="16" spans="4:20" x14ac:dyDescent="0.25">
      <c r="D16">
        <f t="shared" si="0"/>
        <v>13</v>
      </c>
      <c r="E16">
        <f>MATCH(D16,'Financial Model'!$E$236:$E$327,0)</f>
        <v>21</v>
      </c>
      <c r="F16" t="str">
        <f>INDEX('Financial Model'!$D$236:$D$327,'Graph Data'!E16)</f>
        <v>Utilities Percent of Revenues</v>
      </c>
      <c r="I16" s="3">
        <f>INDEX('Financial Model'!I$236:I$327,'Graph Data'!$E16)</f>
        <v>1.9195674247476164E-2</v>
      </c>
      <c r="J16" s="3">
        <f>INDEX('Financial Model'!J$236:J$327,'Graph Data'!$E16)</f>
        <v>2.0423197800248372E-2</v>
      </c>
      <c r="K16" s="3">
        <f>INDEX('Financial Model'!K$236:K$327,'Graph Data'!$E16)</f>
        <v>2.0435929629281334E-2</v>
      </c>
      <c r="L16" s="3">
        <f>INDEX('Financial Model'!L$236:L$327,'Graph Data'!$E16)</f>
        <v>2.5422372245496584E-2</v>
      </c>
      <c r="M16" s="3">
        <f>INDEX('Financial Model'!M$236:M$327,'Graph Data'!$E16)</f>
        <v>2.5422372245496584E-2</v>
      </c>
      <c r="N16" s="3">
        <f>INDEX('Financial Model'!N$236:N$327,'Graph Data'!$E16)</f>
        <v>2.5422372245496584E-2</v>
      </c>
      <c r="O16" s="3">
        <f>INDEX('Financial Model'!O$236:O$327,'Graph Data'!$E16)</f>
        <v>2.5422372245496584E-2</v>
      </c>
      <c r="P16" s="3">
        <f>INDEX('Financial Model'!P$236:P$327,'Graph Data'!$E16)</f>
        <v>2.5422372245496584E-2</v>
      </c>
      <c r="Q16" s="3">
        <f>INDEX('Financial Model'!Q$236:Q$327,'Graph Data'!$E16)</f>
        <v>2.5422372245496584E-2</v>
      </c>
      <c r="R16" s="3">
        <f>INDEX('Financial Model'!R$236:R$327,'Graph Data'!$E16)</f>
        <v>2.5422372245496584E-2</v>
      </c>
      <c r="S16" s="3">
        <f>INDEX('Financial Model'!S$236:S$327,'Graph Data'!$E16)</f>
        <v>2.5422372245496584E-2</v>
      </c>
      <c r="T16" s="3">
        <f>INDEX('Financial Model'!T$236:T$327,'Graph Data'!$E16)</f>
        <v>2.5422372245496584E-2</v>
      </c>
    </row>
    <row r="17" spans="4:20" x14ac:dyDescent="0.25">
      <c r="D17">
        <f t="shared" si="0"/>
        <v>14</v>
      </c>
      <c r="E17">
        <f>MATCH(D17,'Financial Model'!$E$236:$E$327,0)</f>
        <v>22</v>
      </c>
      <c r="F17" t="str">
        <f>INDEX('Financial Model'!$D$236:$D$327,'Graph Data'!E17)</f>
        <v>Utilities Expense</v>
      </c>
      <c r="I17" s="3">
        <f>INDEX('Financial Model'!I$236:I$327,'Graph Data'!$E17)</f>
        <v>72642084.549999997</v>
      </c>
      <c r="J17" s="3">
        <f>INDEX('Financial Model'!J$236:J$327,'Graph Data'!$E17)</f>
        <v>79333028.920000002</v>
      </c>
      <c r="K17" s="3">
        <f>INDEX('Financial Model'!K$236:K$327,'Graph Data'!$E17)</f>
        <v>112006184.69</v>
      </c>
      <c r="L17" s="3">
        <f>INDEX('Financial Model'!L$236:L$327,'Graph Data'!$E17)</f>
        <v>129676546.41</v>
      </c>
      <c r="M17" s="3">
        <f>INDEX('Financial Model'!M$236:M$327,'Graph Data'!$E17)</f>
        <v>142644201.051</v>
      </c>
      <c r="N17" s="3">
        <f>INDEX('Financial Model'!N$236:N$327,'Graph Data'!$E17)</f>
        <v>156908621.15610003</v>
      </c>
      <c r="O17" s="3">
        <f>INDEX('Financial Model'!O$236:O$327,'Graph Data'!$E17)</f>
        <v>172599483.27171004</v>
      </c>
      <c r="P17" s="3">
        <f>INDEX('Financial Model'!P$236:P$327,'Graph Data'!$E17)</f>
        <v>189859431.59888107</v>
      </c>
      <c r="Q17" s="3">
        <f>INDEX('Financial Model'!Q$236:Q$327,'Graph Data'!$E17)</f>
        <v>208845374.75876918</v>
      </c>
      <c r="R17" s="3">
        <f>INDEX('Financial Model'!R$236:R$327,'Graph Data'!$E17)</f>
        <v>229729912.23464611</v>
      </c>
      <c r="S17" s="3">
        <f>INDEX('Financial Model'!S$236:S$327,'Graph Data'!$E17)</f>
        <v>252702903.45811075</v>
      </c>
      <c r="T17" s="3">
        <f>INDEX('Financial Model'!T$236:T$327,'Graph Data'!$E17)</f>
        <v>277973193.80392188</v>
      </c>
    </row>
    <row r="18" spans="4:20" x14ac:dyDescent="0.25">
      <c r="D18">
        <f t="shared" si="0"/>
        <v>15</v>
      </c>
      <c r="E18">
        <f>MATCH(D18,'Financial Model'!$E$236:$E$327,0)</f>
        <v>24</v>
      </c>
      <c r="F18" t="str">
        <f>INDEX('Financial Model'!$D$236:$D$327,'Graph Data'!E18)</f>
        <v>Travel Percent of Salaries</v>
      </c>
      <c r="I18" s="3">
        <f>INDEX('Financial Model'!I$236:I$327,'Graph Data'!$E18)</f>
        <v>3.3633089707081704E-2</v>
      </c>
      <c r="J18" s="3">
        <f>INDEX('Financial Model'!J$236:J$327,'Graph Data'!$E18)</f>
        <v>1.3038114897084587E-2</v>
      </c>
      <c r="K18" s="3">
        <f>INDEX('Financial Model'!K$236:K$327,'Graph Data'!$E18)</f>
        <v>2.5952348052484087E-2</v>
      </c>
      <c r="L18" s="3">
        <f>INDEX('Financial Model'!L$236:L$327,'Graph Data'!$E18)</f>
        <v>1.7234431773822414E-2</v>
      </c>
      <c r="M18" s="3">
        <f>INDEX('Financial Model'!M$236:M$327,'Graph Data'!$E18)</f>
        <v>1.7234431773822414E-2</v>
      </c>
      <c r="N18" s="3">
        <f>INDEX('Financial Model'!N$236:N$327,'Graph Data'!$E18)</f>
        <v>1.7234431773822414E-2</v>
      </c>
      <c r="O18" s="3">
        <f>INDEX('Financial Model'!O$236:O$327,'Graph Data'!$E18)</f>
        <v>1.7234431773822414E-2</v>
      </c>
      <c r="P18" s="3">
        <f>INDEX('Financial Model'!P$236:P$327,'Graph Data'!$E18)</f>
        <v>1.7234431773822414E-2</v>
      </c>
      <c r="Q18" s="3">
        <f>INDEX('Financial Model'!Q$236:Q$327,'Graph Data'!$E18)</f>
        <v>1.7234431773822414E-2</v>
      </c>
      <c r="R18" s="3">
        <f>INDEX('Financial Model'!R$236:R$327,'Graph Data'!$E18)</f>
        <v>1.7234431773822414E-2</v>
      </c>
      <c r="S18" s="3">
        <f>INDEX('Financial Model'!S$236:S$327,'Graph Data'!$E18)</f>
        <v>1.7234431773822414E-2</v>
      </c>
      <c r="T18" s="3">
        <f>INDEX('Financial Model'!T$236:T$327,'Graph Data'!$E18)</f>
        <v>1.7234431773822414E-2</v>
      </c>
    </row>
    <row r="19" spans="4:20" x14ac:dyDescent="0.25">
      <c r="D19">
        <f t="shared" si="0"/>
        <v>16</v>
      </c>
      <c r="E19">
        <f>MATCH(D19,'Financial Model'!$E$236:$E$327,0)</f>
        <v>25</v>
      </c>
      <c r="F19" t="str">
        <f>INDEX('Financial Model'!$D$236:$D$327,'Graph Data'!E19)</f>
        <v>Travel Expense</v>
      </c>
      <c r="I19" s="3">
        <f>INDEX('Financial Model'!I$236:I$327,'Graph Data'!$E19)</f>
        <v>29024748.000000004</v>
      </c>
      <c r="J19" s="3">
        <f>INDEX('Financial Model'!J$236:J$327,'Graph Data'!$E19)</f>
        <v>15499593.779999999</v>
      </c>
      <c r="K19" s="3">
        <f>INDEX('Financial Model'!K$236:K$327,'Graph Data'!$E19)</f>
        <v>32550972.629999999</v>
      </c>
      <c r="L19" s="3">
        <f>INDEX('Financial Model'!L$236:L$327,'Graph Data'!$E19)</f>
        <v>21749954.549999997</v>
      </c>
      <c r="M19" s="3">
        <f>INDEX('Financial Model'!M$236:M$327,'Graph Data'!$E19)</f>
        <v>23924950.005000003</v>
      </c>
      <c r="N19" s="3">
        <f>INDEX('Financial Model'!N$236:N$327,'Graph Data'!$E19)</f>
        <v>26317445.005500007</v>
      </c>
      <c r="O19" s="3">
        <f>INDEX('Financial Model'!O$236:O$327,'Graph Data'!$E19)</f>
        <v>28949189.506050013</v>
      </c>
      <c r="P19" s="3">
        <f>INDEX('Financial Model'!P$236:P$327,'Graph Data'!$E19)</f>
        <v>31844108.456655014</v>
      </c>
      <c r="Q19" s="3">
        <f>INDEX('Financial Model'!Q$236:Q$327,'Graph Data'!$E19)</f>
        <v>35028519.302320518</v>
      </c>
      <c r="R19" s="3">
        <f>INDEX('Financial Model'!R$236:R$327,'Graph Data'!$E19)</f>
        <v>38531371.232552573</v>
      </c>
      <c r="S19" s="3">
        <f>INDEX('Financial Model'!S$236:S$327,'Graph Data'!$E19)</f>
        <v>42384508.355807833</v>
      </c>
      <c r="T19" s="3">
        <f>INDEX('Financial Model'!T$236:T$327,'Graph Data'!$E19)</f>
        <v>46622959.191388614</v>
      </c>
    </row>
    <row r="20" spans="4:20" x14ac:dyDescent="0.25">
      <c r="D20">
        <f t="shared" si="0"/>
        <v>17</v>
      </c>
      <c r="E20">
        <f>MATCH(D20,'Financial Model'!$E$236:$E$327,0)</f>
        <v>27</v>
      </c>
      <c r="F20" t="str">
        <f>INDEX('Financial Model'!$D$236:$D$327,'Graph Data'!E20)</f>
        <v>Rent Expense Percent Increase</v>
      </c>
      <c r="I20" s="3">
        <f>INDEX('Financial Model'!I$236:I$327,'Graph Data'!$E20)</f>
        <v>0</v>
      </c>
      <c r="J20" s="3">
        <f>INDEX('Financial Model'!J$236:J$327,'Graph Data'!$E20)</f>
        <v>6.1407769635746234E-2</v>
      </c>
      <c r="K20" s="3">
        <f>INDEX('Financial Model'!K$236:K$327,'Graph Data'!$E20)</f>
        <v>5.8644012921649891E-2</v>
      </c>
      <c r="L20" s="3">
        <f>INDEX('Financial Model'!L$236:L$327,'Graph Data'!$E20)</f>
        <v>1.4839855031201648</v>
      </c>
      <c r="M20" s="3">
        <f>INDEX('Financial Model'!M$236:M$327,'Graph Data'!$E20)</f>
        <v>0.1</v>
      </c>
      <c r="N20" s="3">
        <f>INDEX('Financial Model'!N$236:N$327,'Graph Data'!$E20)</f>
        <v>0.1</v>
      </c>
      <c r="O20" s="3">
        <f>INDEX('Financial Model'!O$236:O$327,'Graph Data'!$E20)</f>
        <v>0.1</v>
      </c>
      <c r="P20" s="3">
        <f>INDEX('Financial Model'!P$236:P$327,'Graph Data'!$E20)</f>
        <v>0.1</v>
      </c>
      <c r="Q20" s="3">
        <f>INDEX('Financial Model'!Q$236:Q$327,'Graph Data'!$E20)</f>
        <v>0.1</v>
      </c>
      <c r="R20" s="3">
        <f>INDEX('Financial Model'!R$236:R$327,'Graph Data'!$E20)</f>
        <v>0.1</v>
      </c>
      <c r="S20" s="3">
        <f>INDEX('Financial Model'!S$236:S$327,'Graph Data'!$E20)</f>
        <v>0.1</v>
      </c>
      <c r="T20" s="3">
        <f>INDEX('Financial Model'!T$236:T$327,'Graph Data'!$E20)</f>
        <v>0.1</v>
      </c>
    </row>
    <row r="21" spans="4:20" x14ac:dyDescent="0.25">
      <c r="D21">
        <f t="shared" si="0"/>
        <v>18</v>
      </c>
      <c r="E21">
        <f>MATCH(D21,'Financial Model'!$E$236:$E$327,0)</f>
        <v>28</v>
      </c>
      <c r="F21" t="str">
        <f>INDEX('Financial Model'!$D$236:$D$327,'Graph Data'!E21)</f>
        <v xml:space="preserve">Rent Expense  </v>
      </c>
      <c r="I21" s="3">
        <f>INDEX('Financial Model'!I$236:I$327,'Graph Data'!$E21)</f>
        <v>191626512.56999999</v>
      </c>
      <c r="J21" s="3">
        <f>INDEX('Financial Model'!J$236:J$327,'Graph Data'!$E21)</f>
        <v>203393869.31</v>
      </c>
      <c r="K21" s="3">
        <f>INDEX('Financial Model'!K$236:K$327,'Graph Data'!$E21)</f>
        <v>215321702.00999999</v>
      </c>
      <c r="L21" s="3">
        <f>INDEX('Financial Model'!L$236:L$327,'Graph Data'!$E21)</f>
        <v>534855986.30000001</v>
      </c>
      <c r="M21" s="3">
        <f>INDEX('Financial Model'!M$236:M$327,'Graph Data'!$E21)</f>
        <v>588341584.93000007</v>
      </c>
      <c r="N21" s="3">
        <f>INDEX('Financial Model'!N$236:N$327,'Graph Data'!$E21)</f>
        <v>647175743.4230001</v>
      </c>
      <c r="O21" s="3">
        <f>INDEX('Financial Model'!O$236:O$327,'Graph Data'!$E21)</f>
        <v>711893317.76530015</v>
      </c>
      <c r="P21" s="3">
        <f>INDEX('Financial Model'!P$236:P$327,'Graph Data'!$E21)</f>
        <v>783082649.54183018</v>
      </c>
      <c r="Q21" s="3">
        <f>INDEX('Financial Model'!Q$236:Q$327,'Graph Data'!$E21)</f>
        <v>861390914.49601328</v>
      </c>
      <c r="R21" s="3">
        <f>INDEX('Financial Model'!R$236:R$327,'Graph Data'!$E21)</f>
        <v>947530005.9456147</v>
      </c>
      <c r="S21" s="3">
        <f>INDEX('Financial Model'!S$236:S$327,'Graph Data'!$E21)</f>
        <v>1042283006.5401763</v>
      </c>
      <c r="T21" s="3">
        <f>INDEX('Financial Model'!T$236:T$327,'Graph Data'!$E21)</f>
        <v>1146511307.1941941</v>
      </c>
    </row>
    <row r="22" spans="4:20" x14ac:dyDescent="0.25">
      <c r="D22">
        <f t="shared" si="0"/>
        <v>19</v>
      </c>
      <c r="E22">
        <f>MATCH(D22,'Financial Model'!$E$236:$E$327,0)</f>
        <v>30</v>
      </c>
      <c r="F22" t="str">
        <f>INDEX('Financial Model'!$D$236:$D$327,'Graph Data'!E22)</f>
        <v>Transportation Percent of Sales</v>
      </c>
      <c r="I22" s="3">
        <f>INDEX('Financial Model'!I$236:I$327,'Graph Data'!$E22)</f>
        <v>7.0404412483704793E-3</v>
      </c>
      <c r="J22" s="3">
        <f>INDEX('Financial Model'!J$236:J$327,'Graph Data'!$E22)</f>
        <v>2.8981980421700147E-3</v>
      </c>
      <c r="K22" s="3">
        <f>INDEX('Financial Model'!K$236:K$327,'Graph Data'!$E22)</f>
        <v>2.031765688796117E-3</v>
      </c>
      <c r="L22" s="3">
        <f>INDEX('Financial Model'!L$236:L$327,'Graph Data'!$E22)</f>
        <v>1.8332564283015038E-3</v>
      </c>
      <c r="M22" s="3">
        <f>INDEX('Financial Model'!M$236:M$327,'Graph Data'!$E22)</f>
        <v>1.8332564283015038E-3</v>
      </c>
      <c r="N22" s="3">
        <f>INDEX('Financial Model'!N$236:N$327,'Graph Data'!$E22)</f>
        <v>1.8332564283015038E-3</v>
      </c>
      <c r="O22" s="3">
        <f>INDEX('Financial Model'!O$236:O$327,'Graph Data'!$E22)</f>
        <v>1.8332564283015038E-3</v>
      </c>
      <c r="P22" s="3">
        <f>INDEX('Financial Model'!P$236:P$327,'Graph Data'!$E22)</f>
        <v>1.8332564283015038E-3</v>
      </c>
      <c r="Q22" s="3">
        <f>INDEX('Financial Model'!Q$236:Q$327,'Graph Data'!$E22)</f>
        <v>1.8332564283015038E-3</v>
      </c>
      <c r="R22" s="3">
        <f>INDEX('Financial Model'!R$236:R$327,'Graph Data'!$E22)</f>
        <v>1.8332564283015038E-3</v>
      </c>
      <c r="S22" s="3">
        <f>INDEX('Financial Model'!S$236:S$327,'Graph Data'!$E22)</f>
        <v>1.8332564283015038E-3</v>
      </c>
      <c r="T22" s="3">
        <f>INDEX('Financial Model'!T$236:T$327,'Graph Data'!$E22)</f>
        <v>1.8332564283015038E-3</v>
      </c>
    </row>
    <row r="23" spans="4:20" x14ac:dyDescent="0.25">
      <c r="D23">
        <f t="shared" si="0"/>
        <v>20</v>
      </c>
      <c r="E23">
        <f>MATCH(D23,'Financial Model'!$E$236:$E$327,0)</f>
        <v>31</v>
      </c>
      <c r="F23" t="str">
        <f>INDEX('Financial Model'!$D$236:$D$327,'Graph Data'!E23)</f>
        <v>Transportation Expense</v>
      </c>
      <c r="I23" s="3">
        <f>INDEX('Financial Model'!I$236:I$327,'Graph Data'!$E23)</f>
        <v>26643103.120000001</v>
      </c>
      <c r="J23" s="3">
        <f>INDEX('Financial Model'!J$236:J$327,'Graph Data'!$E23)</f>
        <v>11257925</v>
      </c>
      <c r="K23" s="3">
        <f>INDEX('Financial Model'!K$236:K$327,'Graph Data'!$E23)</f>
        <v>11135795.000000002</v>
      </c>
      <c r="L23" s="3">
        <f>INDEX('Financial Model'!L$236:L$327,'Graph Data'!$E23)</f>
        <v>9351226.5500000007</v>
      </c>
      <c r="M23" s="3">
        <f>INDEX('Financial Model'!M$236:M$327,'Graph Data'!$E23)</f>
        <v>10286349.205000002</v>
      </c>
      <c r="N23" s="3">
        <f>INDEX('Financial Model'!N$236:N$327,'Graph Data'!$E23)</f>
        <v>11314984.125500003</v>
      </c>
      <c r="O23" s="3">
        <f>INDEX('Financial Model'!O$236:O$327,'Graph Data'!$E23)</f>
        <v>12446482.538050005</v>
      </c>
      <c r="P23" s="3">
        <f>INDEX('Financial Model'!P$236:P$327,'Graph Data'!$E23)</f>
        <v>13691130.791855006</v>
      </c>
      <c r="Q23" s="3">
        <f>INDEX('Financial Model'!Q$236:Q$327,'Graph Data'!$E23)</f>
        <v>15060243.871040506</v>
      </c>
      <c r="R23" s="3">
        <f>INDEX('Financial Model'!R$236:R$327,'Graph Data'!$E23)</f>
        <v>16566268.258144557</v>
      </c>
      <c r="S23" s="3">
        <f>INDEX('Financial Model'!S$236:S$327,'Graph Data'!$E23)</f>
        <v>18222895.083959017</v>
      </c>
      <c r="T23" s="3">
        <f>INDEX('Financial Model'!T$236:T$327,'Graph Data'!$E23)</f>
        <v>20045184.59235492</v>
      </c>
    </row>
    <row r="24" spans="4:20" x14ac:dyDescent="0.25">
      <c r="D24">
        <f t="shared" si="0"/>
        <v>21</v>
      </c>
      <c r="E24">
        <f>MATCH(D24,'Financial Model'!$E$236:$E$327,0)</f>
        <v>33</v>
      </c>
      <c r="F24" t="str">
        <f>INDEX('Financial Model'!$D$236:$D$327,'Graph Data'!E24)</f>
        <v>Outsourcing Percent Increase</v>
      </c>
      <c r="I24" s="3">
        <f>INDEX('Financial Model'!I$236:I$327,'Graph Data'!$E24)</f>
        <v>0</v>
      </c>
      <c r="J24" s="3">
        <f>INDEX('Financial Model'!J$236:J$327,'Graph Data'!$E24)</f>
        <v>-0.7</v>
      </c>
      <c r="K24" s="3">
        <f>INDEX('Financial Model'!K$236:K$327,'Graph Data'!$E24)</f>
        <v>113</v>
      </c>
      <c r="L24" s="3">
        <f>INDEX('Financial Model'!L$236:L$327,'Graph Data'!$E24)</f>
        <v>-0.90923087719298246</v>
      </c>
      <c r="M24" s="3">
        <f>INDEX('Financial Model'!M$236:M$327,'Graph Data'!$E24)</f>
        <v>0.1</v>
      </c>
      <c r="N24" s="3">
        <f>INDEX('Financial Model'!N$236:N$327,'Graph Data'!$E24)</f>
        <v>0.1</v>
      </c>
      <c r="O24" s="3">
        <f>INDEX('Financial Model'!O$236:O$327,'Graph Data'!$E24)</f>
        <v>0.1</v>
      </c>
      <c r="P24" s="3">
        <f>INDEX('Financial Model'!P$236:P$327,'Graph Data'!$E24)</f>
        <v>0.1</v>
      </c>
      <c r="Q24" s="3">
        <f>INDEX('Financial Model'!Q$236:Q$327,'Graph Data'!$E24)</f>
        <v>0.1</v>
      </c>
      <c r="R24" s="3">
        <f>INDEX('Financial Model'!R$236:R$327,'Graph Data'!$E24)</f>
        <v>0.1</v>
      </c>
      <c r="S24" s="3">
        <f>INDEX('Financial Model'!S$236:S$327,'Graph Data'!$E24)</f>
        <v>0.1</v>
      </c>
      <c r="T24" s="3">
        <f>INDEX('Financial Model'!T$236:T$327,'Graph Data'!$E24)</f>
        <v>0.1</v>
      </c>
    </row>
    <row r="25" spans="4:20" x14ac:dyDescent="0.25">
      <c r="D25">
        <f t="shared" si="0"/>
        <v>22</v>
      </c>
      <c r="E25">
        <f>MATCH(D25,'Financial Model'!$E$236:$E$327,0)</f>
        <v>34</v>
      </c>
      <c r="F25" t="str">
        <f>INDEX('Financial Model'!$D$236:$D$327,'Graph Data'!E25)</f>
        <v xml:space="preserve">Outsourcing  </v>
      </c>
      <c r="I25" s="3">
        <f>INDEX('Financial Model'!I$236:I$327,'Graph Data'!$E25)</f>
        <v>500000</v>
      </c>
      <c r="J25" s="3">
        <f>INDEX('Financial Model'!J$236:J$327,'Graph Data'!$E25)</f>
        <v>150000</v>
      </c>
      <c r="K25" s="3">
        <f>INDEX('Financial Model'!K$236:K$327,'Graph Data'!$E25)</f>
        <v>17100000</v>
      </c>
      <c r="L25" s="3">
        <f>INDEX('Financial Model'!L$236:L$327,'Graph Data'!$E25)</f>
        <v>1552152</v>
      </c>
      <c r="M25" s="3">
        <f>INDEX('Financial Model'!M$236:M$327,'Graph Data'!$E25)</f>
        <v>1707367.2000000002</v>
      </c>
      <c r="N25" s="3">
        <f>INDEX('Financial Model'!N$236:N$327,'Graph Data'!$E25)</f>
        <v>1878103.9200000004</v>
      </c>
      <c r="O25" s="3">
        <f>INDEX('Financial Model'!O$236:O$327,'Graph Data'!$E25)</f>
        <v>2065914.3120000006</v>
      </c>
      <c r="P25" s="3">
        <f>INDEX('Financial Model'!P$236:P$327,'Graph Data'!$E25)</f>
        <v>2272505.7432000008</v>
      </c>
      <c r="Q25" s="3">
        <f>INDEX('Financial Model'!Q$236:Q$327,'Graph Data'!$E25)</f>
        <v>2499756.317520001</v>
      </c>
      <c r="R25" s="3">
        <f>INDEX('Financial Model'!R$236:R$327,'Graph Data'!$E25)</f>
        <v>2749731.9492720012</v>
      </c>
      <c r="S25" s="3">
        <f>INDEX('Financial Model'!S$236:S$327,'Graph Data'!$E25)</f>
        <v>3024705.1441992014</v>
      </c>
      <c r="T25" s="3">
        <f>INDEX('Financial Model'!T$236:T$327,'Graph Data'!$E25)</f>
        <v>3327175.6586191216</v>
      </c>
    </row>
    <row r="26" spans="4:20" x14ac:dyDescent="0.25">
      <c r="D26">
        <f t="shared" si="0"/>
        <v>23</v>
      </c>
      <c r="E26">
        <f>MATCH(D26,'Financial Model'!$E$236:$E$327,0)</f>
        <v>36</v>
      </c>
      <c r="F26" t="str">
        <f>INDEX('Financial Model'!$D$236:$D$327,'Graph Data'!E26)</f>
        <v>Advertising as Percent of Revenue</v>
      </c>
      <c r="I26" s="3">
        <f>INDEX('Financial Model'!I$236:I$327,'Graph Data'!$E26)</f>
        <v>7.0242421127218995E-3</v>
      </c>
      <c r="J26" s="3">
        <f>INDEX('Financial Model'!J$236:J$327,'Graph Data'!$E26)</f>
        <v>9.3899454765958654E-3</v>
      </c>
      <c r="K26" s="3">
        <f>INDEX('Financial Model'!K$236:K$327,'Graph Data'!$E26)</f>
        <v>5.2730326990558466E-3</v>
      </c>
      <c r="L26" s="3">
        <f>INDEX('Financial Model'!L$236:L$327,'Graph Data'!$E26)</f>
        <v>8.2102994146194749E-3</v>
      </c>
      <c r="M26" s="3">
        <f>INDEX('Financial Model'!M$236:M$327,'Graph Data'!$E26)</f>
        <v>7.4743799257482712E-3</v>
      </c>
      <c r="N26" s="3">
        <f>INDEX('Financial Model'!N$236:N$327,'Graph Data'!$E26)</f>
        <v>7.4743799257482712E-3</v>
      </c>
      <c r="O26" s="3">
        <f>INDEX('Financial Model'!O$236:O$327,'Graph Data'!$E26)</f>
        <v>7.4743799257482712E-3</v>
      </c>
      <c r="P26" s="3">
        <f>INDEX('Financial Model'!P$236:P$327,'Graph Data'!$E26)</f>
        <v>7.4743799257482712E-3</v>
      </c>
      <c r="Q26" s="3">
        <f>INDEX('Financial Model'!Q$236:Q$327,'Graph Data'!$E26)</f>
        <v>7.4743799257482712E-3</v>
      </c>
      <c r="R26" s="3">
        <f>INDEX('Financial Model'!R$236:R$327,'Graph Data'!$E26)</f>
        <v>7.4743799257482712E-3</v>
      </c>
      <c r="S26" s="3">
        <f>INDEX('Financial Model'!S$236:S$327,'Graph Data'!$E26)</f>
        <v>7.4743799257482712E-3</v>
      </c>
      <c r="T26" s="3">
        <f>INDEX('Financial Model'!T$236:T$327,'Graph Data'!$E26)</f>
        <v>7.4743799257482712E-3</v>
      </c>
    </row>
    <row r="27" spans="4:20" x14ac:dyDescent="0.25">
      <c r="D27">
        <f t="shared" si="0"/>
        <v>24</v>
      </c>
      <c r="E27">
        <f>MATCH(D27,'Financial Model'!$E$236:$E$327,0)</f>
        <v>37</v>
      </c>
      <c r="F27" t="str">
        <f>INDEX('Financial Model'!$D$236:$D$327,'Graph Data'!E27)</f>
        <v>Advertising Expense</v>
      </c>
      <c r="I27" s="3">
        <f>INDEX('Financial Model'!I$236:I$327,'Graph Data'!$E27)</f>
        <v>26581800.82</v>
      </c>
      <c r="J27" s="3">
        <f>INDEX('Financial Model'!J$236:J$327,'Graph Data'!$E27)</f>
        <v>36474837.258000001</v>
      </c>
      <c r="K27" s="3">
        <f>INDEX('Financial Model'!K$236:K$327,'Graph Data'!$E27)</f>
        <v>28900680.57</v>
      </c>
      <c r="L27" s="3">
        <f>INDEX('Financial Model'!L$236:L$327,'Graph Data'!$E27)</f>
        <v>41879776.710000001</v>
      </c>
      <c r="M27" s="3">
        <f>INDEX('Financial Model'!M$236:M$327,'Graph Data'!$E27)</f>
        <v>41938531.249728732</v>
      </c>
      <c r="N27" s="3">
        <f>INDEX('Financial Model'!N$236:N$327,'Graph Data'!$E27)</f>
        <v>46132384.374701612</v>
      </c>
      <c r="O27" s="3">
        <f>INDEX('Financial Model'!O$236:O$327,'Graph Data'!$E27)</f>
        <v>50745622.81217178</v>
      </c>
      <c r="P27" s="3">
        <f>INDEX('Financial Model'!P$236:P$327,'Graph Data'!$E27)</f>
        <v>55820185.09338896</v>
      </c>
      <c r="Q27" s="3">
        <f>INDEX('Financial Model'!Q$236:Q$327,'Graph Data'!$E27)</f>
        <v>61402203.60272786</v>
      </c>
      <c r="R27" s="3">
        <f>INDEX('Financial Model'!R$236:R$327,'Graph Data'!$E27)</f>
        <v>67542423.96300064</v>
      </c>
      <c r="S27" s="3">
        <f>INDEX('Financial Model'!S$236:S$327,'Graph Data'!$E27)</f>
        <v>74296666.359300718</v>
      </c>
      <c r="T27" s="3">
        <f>INDEX('Financial Model'!T$236:T$327,'Graph Data'!$E27)</f>
        <v>81726332.995230809</v>
      </c>
    </row>
    <row r="28" spans="4:20" x14ac:dyDescent="0.25">
      <c r="D28">
        <f t="shared" si="0"/>
        <v>25</v>
      </c>
      <c r="E28">
        <f>MATCH(D28,'Financial Model'!$E$236:$E$327,0)</f>
        <v>39</v>
      </c>
      <c r="F28" t="str">
        <f>INDEX('Financial Model'!$D$236:$D$327,'Graph Data'!E28)</f>
        <v>Postal and Training Percent of Revenues</v>
      </c>
      <c r="I28" s="3">
        <f>INDEX('Financial Model'!I$236:I$327,'Graph Data'!$E28)</f>
        <v>1.2634906450601786E-2</v>
      </c>
      <c r="J28" s="3">
        <f>INDEX('Financial Model'!J$236:J$327,'Graph Data'!$E28)</f>
        <v>1.3211481123498327E-2</v>
      </c>
      <c r="K28" s="3">
        <f>INDEX('Financial Model'!K$236:K$327,'Graph Data'!$E28)</f>
        <v>1.1342737313729333E-2</v>
      </c>
      <c r="L28" s="3">
        <f>INDEX('Financial Model'!L$236:L$327,'Graph Data'!$E28)</f>
        <v>1.2955457534702758E-2</v>
      </c>
      <c r="M28" s="3">
        <f>INDEX('Financial Model'!M$236:M$327,'Graph Data'!$E28)</f>
        <v>1.2955457534702758E-2</v>
      </c>
      <c r="N28" s="3">
        <f>INDEX('Financial Model'!N$236:N$327,'Graph Data'!$E28)</f>
        <v>1.2955457534702758E-2</v>
      </c>
      <c r="O28" s="3">
        <f>INDEX('Financial Model'!O$236:O$327,'Graph Data'!$E28)</f>
        <v>1.2955457534702758E-2</v>
      </c>
      <c r="P28" s="3">
        <f>INDEX('Financial Model'!P$236:P$327,'Graph Data'!$E28)</f>
        <v>1.2955457534702758E-2</v>
      </c>
      <c r="Q28" s="3">
        <f>INDEX('Financial Model'!Q$236:Q$327,'Graph Data'!$E28)</f>
        <v>1.2955457534702758E-2</v>
      </c>
      <c r="R28" s="3">
        <f>INDEX('Financial Model'!R$236:R$327,'Graph Data'!$E28)</f>
        <v>1.2955457534702758E-2</v>
      </c>
      <c r="S28" s="3">
        <f>INDEX('Financial Model'!S$236:S$327,'Graph Data'!$E28)</f>
        <v>1.2955457534702758E-2</v>
      </c>
      <c r="T28" s="3">
        <f>INDEX('Financial Model'!T$236:T$327,'Graph Data'!$E28)</f>
        <v>1.2955457534702758E-2</v>
      </c>
    </row>
    <row r="29" spans="4:20" x14ac:dyDescent="0.25">
      <c r="D29">
        <f t="shared" si="0"/>
        <v>26</v>
      </c>
      <c r="E29">
        <f>MATCH(D29,'Financial Model'!$E$236:$E$327,0)</f>
        <v>40</v>
      </c>
      <c r="F29" t="str">
        <f>INDEX('Financial Model'!$D$236:$D$327,'Graph Data'!E29)</f>
        <v>Postal and Training Expense</v>
      </c>
      <c r="I29" s="3">
        <f>INDEX('Financial Model'!I$236:I$327,'Graph Data'!$E29)</f>
        <v>47814207.036078997</v>
      </c>
      <c r="J29" s="3">
        <f>INDEX('Financial Model'!J$236:J$327,'Graph Data'!$E29)</f>
        <v>51319427.265880004</v>
      </c>
      <c r="K29" s="3">
        <f>INDEX('Financial Model'!K$236:K$327,'Graph Data'!$E29)</f>
        <v>62167797.281478509</v>
      </c>
      <c r="L29" s="3">
        <f>INDEX('Financial Model'!L$236:L$327,'Graph Data'!$E29)</f>
        <v>66084273.097655997</v>
      </c>
      <c r="M29" s="3">
        <f>INDEX('Financial Model'!M$236:M$327,'Graph Data'!$E29)</f>
        <v>72692700.407421604</v>
      </c>
      <c r="N29" s="3">
        <f>INDEX('Financial Model'!N$236:N$327,'Graph Data'!$E29)</f>
        <v>79961970.448163778</v>
      </c>
      <c r="O29" s="3">
        <f>INDEX('Financial Model'!O$236:O$327,'Graph Data'!$E29)</f>
        <v>87958167.492980152</v>
      </c>
      <c r="P29" s="3">
        <f>INDEX('Financial Model'!P$236:P$327,'Graph Data'!$E29)</f>
        <v>96753984.242278174</v>
      </c>
      <c r="Q29" s="3">
        <f>INDEX('Financial Model'!Q$236:Q$327,'Graph Data'!$E29)</f>
        <v>106429382.66650601</v>
      </c>
      <c r="R29" s="3">
        <f>INDEX('Financial Model'!R$236:R$327,'Graph Data'!$E29)</f>
        <v>117072320.93315661</v>
      </c>
      <c r="S29" s="3">
        <f>INDEX('Financial Model'!S$236:S$327,'Graph Data'!$E29)</f>
        <v>128779553.02647229</v>
      </c>
      <c r="T29" s="3">
        <f>INDEX('Financial Model'!T$236:T$327,'Graph Data'!$E29)</f>
        <v>141657508.32911953</v>
      </c>
    </row>
    <row r="30" spans="4:20" x14ac:dyDescent="0.25">
      <c r="D30">
        <f t="shared" si="0"/>
        <v>27</v>
      </c>
      <c r="E30">
        <f>MATCH(D30,'Financial Model'!$E$236:$E$327,0)</f>
        <v>42</v>
      </c>
      <c r="F30" t="str">
        <f>INDEX('Financial Model'!$D$236:$D$327,'Graph Data'!E30)</f>
        <v>Fuel Expense as Percent of CGS</v>
      </c>
      <c r="I30" s="3">
        <f>INDEX('Financial Model'!I$236:I$327,'Graph Data'!$E30)</f>
        <v>4.3591908229592739E-2</v>
      </c>
      <c r="J30" s="3">
        <f>INDEX('Financial Model'!J$236:J$327,'Graph Data'!$E30)</f>
        <v>6.4895743633189007E-2</v>
      </c>
      <c r="K30" s="3">
        <f>INDEX('Financial Model'!K$236:K$327,'Graph Data'!$E30)</f>
        <v>3.1229767194268371E-2</v>
      </c>
      <c r="L30" s="3">
        <f>INDEX('Financial Model'!L$236:L$327,'Graph Data'!$E30)</f>
        <v>3.4248598827643813E-2</v>
      </c>
      <c r="M30" s="3">
        <f>INDEX('Financial Model'!M$236:M$327,'Graph Data'!$E30)</f>
        <v>4.3491504471173482E-2</v>
      </c>
      <c r="N30" s="3">
        <f>INDEX('Financial Model'!N$236:N$327,'Graph Data'!$E30)</f>
        <v>4.3491504471173482E-2</v>
      </c>
      <c r="O30" s="3">
        <f>INDEX('Financial Model'!O$236:O$327,'Graph Data'!$E30)</f>
        <v>4.3491504471173482E-2</v>
      </c>
      <c r="P30" s="3">
        <f>INDEX('Financial Model'!P$236:P$327,'Graph Data'!$E30)</f>
        <v>4.3491504471173482E-2</v>
      </c>
      <c r="Q30" s="3">
        <f>INDEX('Financial Model'!Q$236:Q$327,'Graph Data'!$E30)</f>
        <v>4.3491504471173482E-2</v>
      </c>
      <c r="R30" s="3">
        <f>INDEX('Financial Model'!R$236:R$327,'Graph Data'!$E30)</f>
        <v>4.3491504471173482E-2</v>
      </c>
      <c r="S30" s="3">
        <f>INDEX('Financial Model'!S$236:S$327,'Graph Data'!$E30)</f>
        <v>4.3491504471173482E-2</v>
      </c>
      <c r="T30" s="3">
        <f>INDEX('Financial Model'!T$236:T$327,'Graph Data'!$E30)</f>
        <v>4.3491504471173482E-2</v>
      </c>
    </row>
    <row r="31" spans="4:20" x14ac:dyDescent="0.25">
      <c r="D31">
        <f t="shared" si="0"/>
        <v>28</v>
      </c>
      <c r="E31">
        <f>MATCH(D31,'Financial Model'!$E$236:$E$327,0)</f>
        <v>43</v>
      </c>
      <c r="F31" t="str">
        <f>INDEX('Financial Model'!$D$236:$D$327,'Graph Data'!E31)</f>
        <v xml:space="preserve">Fuel Expense  </v>
      </c>
      <c r="I31" s="3">
        <f>INDEX('Financial Model'!I$236:I$327,'Graph Data'!$E31)</f>
        <v>41723861.130000003</v>
      </c>
      <c r="J31" s="3">
        <f>INDEX('Financial Model'!J$236:J$327,'Graph Data'!$E31)</f>
        <v>57158741.479999997</v>
      </c>
      <c r="K31" s="3">
        <f>INDEX('Financial Model'!K$236:K$327,'Graph Data'!$E31)</f>
        <v>48440704.739999898</v>
      </c>
      <c r="L31" s="3">
        <f>INDEX('Financial Model'!L$236:L$327,'Graph Data'!$E31)</f>
        <v>47010372.449999996</v>
      </c>
      <c r="M31" s="3">
        <f>INDEX('Financial Model'!M$236:M$327,'Graph Data'!$E31)</f>
        <v>68328283.348566771</v>
      </c>
      <c r="N31" s="3">
        <f>INDEX('Financial Model'!N$236:N$327,'Graph Data'!$E31)</f>
        <v>75161111.68342346</v>
      </c>
      <c r="O31" s="3">
        <f>INDEX('Financial Model'!O$236:O$327,'Graph Data'!$E31)</f>
        <v>82677222.851765811</v>
      </c>
      <c r="P31" s="3">
        <f>INDEX('Financial Model'!P$236:P$327,'Graph Data'!$E31)</f>
        <v>90944945.136942402</v>
      </c>
      <c r="Q31" s="3">
        <f>INDEX('Financial Model'!Q$236:Q$327,'Graph Data'!$E31)</f>
        <v>100039439.65063664</v>
      </c>
      <c r="R31" s="3">
        <f>INDEX('Financial Model'!R$236:R$327,'Graph Data'!$E31)</f>
        <v>110043383.61570032</v>
      </c>
      <c r="S31" s="3">
        <f>INDEX('Financial Model'!S$236:S$327,'Graph Data'!$E31)</f>
        <v>121047721.97727035</v>
      </c>
      <c r="T31" s="3">
        <f>INDEX('Financial Model'!T$236:T$327,'Graph Data'!$E31)</f>
        <v>133152494.1749974</v>
      </c>
    </row>
    <row r="32" spans="4:20" x14ac:dyDescent="0.25">
      <c r="D32">
        <f t="shared" si="0"/>
        <v>29</v>
      </c>
      <c r="E32">
        <f>MATCH(D32,'Financial Model'!$E$236:$E$327,0)</f>
        <v>45</v>
      </c>
      <c r="F32" t="str">
        <f>INDEX('Financial Model'!$D$236:$D$327,'Graph Data'!E32)</f>
        <v>Other Expense Pct of Revenues</v>
      </c>
      <c r="I32" s="3">
        <f>INDEX('Financial Model'!I$236:I$327,'Graph Data'!$E32)</f>
        <v>4.9475375321808256E-2</v>
      </c>
      <c r="J32" s="3">
        <f>INDEX('Financial Model'!J$236:J$327,'Graph Data'!$E32)</f>
        <v>9.6458896403158523E-2</v>
      </c>
      <c r="K32" s="3">
        <f>INDEX('Financial Model'!K$236:K$327,'Graph Data'!$E32)</f>
        <v>6.2268763421389615E-2</v>
      </c>
      <c r="L32" s="3">
        <f>INDEX('Financial Model'!L$236:L$327,'Graph Data'!$E32)</f>
        <v>6.3057263778031683E-2</v>
      </c>
      <c r="M32" s="3">
        <f>INDEX('Financial Model'!M$236:M$327,'Graph Data'!$E32)</f>
        <v>7.0000000000000007E-2</v>
      </c>
      <c r="N32" s="3">
        <f>INDEX('Financial Model'!N$236:N$327,'Graph Data'!$E32)</f>
        <v>7.0000000000000007E-2</v>
      </c>
      <c r="O32" s="3">
        <f>INDEX('Financial Model'!O$236:O$327,'Graph Data'!$E32)</f>
        <v>7.0000000000000007E-2</v>
      </c>
      <c r="P32" s="3">
        <f>INDEX('Financial Model'!P$236:P$327,'Graph Data'!$E32)</f>
        <v>7.0000000000000007E-2</v>
      </c>
      <c r="Q32" s="3">
        <f>INDEX('Financial Model'!Q$236:Q$327,'Graph Data'!$E32)</f>
        <v>7.0000000000000007E-2</v>
      </c>
      <c r="R32" s="3">
        <f>INDEX('Financial Model'!R$236:R$327,'Graph Data'!$E32)</f>
        <v>7.0000000000000007E-2</v>
      </c>
      <c r="S32" s="3">
        <f>INDEX('Financial Model'!S$236:S$327,'Graph Data'!$E32)</f>
        <v>7.0000000000000007E-2</v>
      </c>
      <c r="T32" s="3">
        <f>INDEX('Financial Model'!T$236:T$327,'Graph Data'!$E32)</f>
        <v>7.0000000000000007E-2</v>
      </c>
    </row>
    <row r="33" spans="4:20" x14ac:dyDescent="0.25">
      <c r="D33">
        <f t="shared" si="0"/>
        <v>30</v>
      </c>
      <c r="E33">
        <f>MATCH(D33,'Financial Model'!$E$236:$E$327,0)</f>
        <v>46</v>
      </c>
      <c r="F33" t="str">
        <f>INDEX('Financial Model'!$D$236:$D$327,'Graph Data'!E33)</f>
        <v xml:space="preserve">Other Expense  </v>
      </c>
      <c r="I33" s="3">
        <f>INDEX('Financial Model'!I$236:I$327,'Graph Data'!$E33)</f>
        <v>187229390.90000001</v>
      </c>
      <c r="J33" s="3">
        <f>INDEX('Financial Model'!J$236:J$327,'Graph Data'!$E33)</f>
        <v>374690412.97000003</v>
      </c>
      <c r="K33" s="3">
        <f>INDEX('Financial Model'!K$236:K$327,'Graph Data'!$E33)</f>
        <v>341285507.56999999</v>
      </c>
      <c r="L33" s="3">
        <f>INDEX('Financial Model'!L$236:L$327,'Graph Data'!$E33)</f>
        <v>321647724.83999997</v>
      </c>
      <c r="M33" s="3">
        <f>INDEX('Financial Model'!M$236:M$327,'Graph Data'!$E33)</f>
        <v>392767991.00991845</v>
      </c>
      <c r="N33" s="3">
        <f>INDEX('Financial Model'!N$236:N$327,'Graph Data'!$E33)</f>
        <v>432044790.1109103</v>
      </c>
      <c r="O33" s="3">
        <f>INDEX('Financial Model'!O$236:O$327,'Graph Data'!$E33)</f>
        <v>475249269.12200141</v>
      </c>
      <c r="P33" s="3">
        <f>INDEX('Financial Model'!P$236:P$327,'Graph Data'!$E33)</f>
        <v>522774196.03420156</v>
      </c>
      <c r="Q33" s="3">
        <f>INDEX('Financial Model'!Q$236:Q$327,'Graph Data'!$E33)</f>
        <v>575051615.63762176</v>
      </c>
      <c r="R33" s="3">
        <f>INDEX('Financial Model'!R$236:R$327,'Graph Data'!$E33)</f>
        <v>632556777.20138395</v>
      </c>
      <c r="S33" s="3">
        <f>INDEX('Financial Model'!S$236:S$327,'Graph Data'!$E33)</f>
        <v>695812454.92152238</v>
      </c>
      <c r="T33" s="3">
        <f>INDEX('Financial Model'!T$236:T$327,'Graph Data'!$E33)</f>
        <v>765393700.41367471</v>
      </c>
    </row>
    <row r="34" spans="4:20" x14ac:dyDescent="0.25">
      <c r="D34">
        <f t="shared" si="0"/>
        <v>31</v>
      </c>
      <c r="E34">
        <f>MATCH(D34,'Financial Model'!$E$236:$E$327,0)</f>
        <v>48</v>
      </c>
      <c r="F34" t="str">
        <f>INDEX('Financial Model'!$D$236:$D$327,'Graph Data'!E34)</f>
        <v>Total Expenses</v>
      </c>
      <c r="I34" s="3">
        <f>INDEX('Financial Model'!I$236:I$327,'Graph Data'!$E34)</f>
        <v>2572603153.1239486</v>
      </c>
      <c r="J34" s="3">
        <f>INDEX('Financial Model'!J$236:J$327,'Graph Data'!$E34)</f>
        <v>3073937455.2291746</v>
      </c>
      <c r="K34" s="3">
        <f>INDEX('Financial Model'!K$236:K$327,'Graph Data'!$E34)</f>
        <v>3898589669.1349096</v>
      </c>
      <c r="L34" s="3">
        <f>INDEX('Financial Model'!L$236:L$327,'Graph Data'!$E34)</f>
        <v>4021732916.1051283</v>
      </c>
      <c r="M34" s="3">
        <f>INDEX('Financial Model'!M$236:M$327,'Graph Data'!$E34)</f>
        <v>4518121827.6650143</v>
      </c>
      <c r="N34" s="3">
        <f>INDEX('Financial Model'!N$236:N$327,'Graph Data'!$E34)</f>
        <v>4965944383.3715715</v>
      </c>
      <c r="O34" s="3">
        <f>INDEX('Financial Model'!O$236:O$327,'Graph Data'!$E34)</f>
        <v>5459048593.8562031</v>
      </c>
      <c r="P34" s="3">
        <f>INDEX('Financial Model'!P$236:P$327,'Graph Data'!$E34)</f>
        <v>6001900112.5963125</v>
      </c>
      <c r="Q34" s="3">
        <f>INDEX('Financial Model'!Q$236:Q$327,'Graph Data'!$E34)</f>
        <v>6599418983.319725</v>
      </c>
      <c r="R34" s="3">
        <f>INDEX('Financial Model'!R$236:R$327,'Graph Data'!$E34)</f>
        <v>7257024099.5521545</v>
      </c>
      <c r="S34" s="3">
        <f>INDEX('Financial Model'!S$236:S$327,'Graph Data'!$E34)</f>
        <v>7980682232.7249613</v>
      </c>
      <c r="T34" s="3">
        <f>INDEX('Financial Model'!T$236:T$327,'Graph Data'!$E34)</f>
        <v>8776962070.3521252</v>
      </c>
    </row>
    <row r="35" spans="4:20" x14ac:dyDescent="0.25">
      <c r="D35">
        <f t="shared" si="0"/>
        <v>32</v>
      </c>
      <c r="E35">
        <f>MATCH(D35,'Financial Model'!$E$236:$E$327,0)</f>
        <v>50</v>
      </c>
      <c r="F35" t="str">
        <f>INDEX('Financial Model'!$D$236:$D$327,'Graph Data'!E35)</f>
        <v>Historic</v>
      </c>
      <c r="I35" s="3">
        <f>INDEX('Financial Model'!I$236:I$327,'Graph Data'!$E35)</f>
        <v>2572603153.1239486</v>
      </c>
      <c r="J35" s="3">
        <f>INDEX('Financial Model'!J$236:J$327,'Graph Data'!$E35)</f>
        <v>3073937455.2291751</v>
      </c>
      <c r="K35" s="3">
        <f>INDEX('Financial Model'!K$236:K$327,'Graph Data'!$E35)</f>
        <v>3898589669.1349096</v>
      </c>
      <c r="L35" s="3">
        <f>INDEX('Financial Model'!L$236:L$327,'Graph Data'!$E35)</f>
        <v>4021732916.1051283</v>
      </c>
      <c r="M35" s="3">
        <f>INDEX('Financial Model'!M$236:M$327,'Graph Data'!$E35)</f>
        <v>0</v>
      </c>
      <c r="N35" s="3">
        <f>INDEX('Financial Model'!N$236:N$327,'Graph Data'!$E35)</f>
        <v>0</v>
      </c>
      <c r="O35" s="3">
        <f>INDEX('Financial Model'!O$236:O$327,'Graph Data'!$E35)</f>
        <v>0</v>
      </c>
      <c r="P35" s="3">
        <f>INDEX('Financial Model'!P$236:P$327,'Graph Data'!$E35)</f>
        <v>0</v>
      </c>
      <c r="Q35" s="3">
        <f>INDEX('Financial Model'!Q$236:Q$327,'Graph Data'!$E35)</f>
        <v>0</v>
      </c>
      <c r="R35" s="3">
        <f>INDEX('Financial Model'!R$236:R$327,'Graph Data'!$E35)</f>
        <v>0</v>
      </c>
      <c r="S35" s="3">
        <f>INDEX('Financial Model'!S$236:S$327,'Graph Data'!$E35)</f>
        <v>0</v>
      </c>
      <c r="T35" s="3">
        <f>INDEX('Financial Model'!T$236:T$327,'Graph Data'!$E35)</f>
        <v>0</v>
      </c>
    </row>
    <row r="36" spans="4:20" x14ac:dyDescent="0.25">
      <c r="D36">
        <f t="shared" si="0"/>
        <v>33</v>
      </c>
      <c r="E36">
        <f>MATCH(D36,'Financial Model'!$E$236:$E$327,0)</f>
        <v>51</v>
      </c>
      <c r="F36" t="str">
        <f>INDEX('Financial Model'!$D$236:$D$327,'Graph Data'!E36)</f>
        <v>Difference</v>
      </c>
      <c r="I36" s="3">
        <f>INDEX('Financial Model'!I$236:I$327,'Graph Data'!$E36)</f>
        <v>0</v>
      </c>
      <c r="J36" s="3">
        <f>INDEX('Financial Model'!J$236:J$327,'Graph Data'!$E36)</f>
        <v>0</v>
      </c>
      <c r="K36" s="3">
        <f>INDEX('Financial Model'!K$236:K$327,'Graph Data'!$E36)</f>
        <v>0</v>
      </c>
      <c r="L36" s="3">
        <f>INDEX('Financial Model'!L$236:L$327,'Graph Data'!$E36)</f>
        <v>0</v>
      </c>
      <c r="M36" s="3">
        <f>INDEX('Financial Model'!M$236:M$327,'Graph Data'!$E36)</f>
        <v>-4518121827.6650143</v>
      </c>
      <c r="N36" s="3">
        <f>INDEX('Financial Model'!N$236:N$327,'Graph Data'!$E36)</f>
        <v>-4965944383.3715715</v>
      </c>
      <c r="O36" s="3">
        <f>INDEX('Financial Model'!O$236:O$327,'Graph Data'!$E36)</f>
        <v>-5459048593.8562031</v>
      </c>
      <c r="P36" s="3">
        <f>INDEX('Financial Model'!P$236:P$327,'Graph Data'!$E36)</f>
        <v>-6001900112.5963125</v>
      </c>
      <c r="Q36" s="3">
        <f>INDEX('Financial Model'!Q$236:Q$327,'Graph Data'!$E36)</f>
        <v>-6599418983.319725</v>
      </c>
      <c r="R36" s="3">
        <f>INDEX('Financial Model'!R$236:R$327,'Graph Data'!$E36)</f>
        <v>-7257024099.5521545</v>
      </c>
      <c r="S36" s="3">
        <f>INDEX('Financial Model'!S$236:S$327,'Graph Data'!$E36)</f>
        <v>-7980682232.7249613</v>
      </c>
      <c r="T36" s="3">
        <f>INDEX('Financial Model'!T$236:T$327,'Graph Data'!$E36)</f>
        <v>-8776962070.3521252</v>
      </c>
    </row>
    <row r="37" spans="4:20" x14ac:dyDescent="0.25">
      <c r="D37">
        <f t="shared" si="0"/>
        <v>34</v>
      </c>
      <c r="E37">
        <f>MATCH(D37,'Financial Model'!$E$236:$E$327,0)</f>
        <v>52</v>
      </c>
      <c r="F37" t="str">
        <f>INDEX('Financial Model'!$D$236:$D$327,'Graph Data'!E37)</f>
        <v>Test</v>
      </c>
      <c r="I37" s="3">
        <f>INDEX('Financial Model'!I$236:I$327,'Graph Data'!$E37)</f>
        <v>0</v>
      </c>
      <c r="J37" s="3">
        <f>INDEX('Financial Model'!J$236:J$327,'Graph Data'!$E37)</f>
        <v>0</v>
      </c>
      <c r="K37" s="3">
        <f>INDEX('Financial Model'!K$236:K$327,'Graph Data'!$E37)</f>
        <v>0</v>
      </c>
      <c r="L37" s="3">
        <f>INDEX('Financial Model'!L$236:L$327,'Graph Data'!$E37)</f>
        <v>0</v>
      </c>
      <c r="M37" s="3">
        <f>INDEX('Financial Model'!M$236:M$327,'Graph Data'!$E37)</f>
        <v>0</v>
      </c>
      <c r="N37" s="3">
        <f>INDEX('Financial Model'!N$236:N$327,'Graph Data'!$E37)</f>
        <v>0</v>
      </c>
      <c r="O37" s="3">
        <f>INDEX('Financial Model'!O$236:O$327,'Graph Data'!$E37)</f>
        <v>0</v>
      </c>
      <c r="P37" s="3">
        <f>INDEX('Financial Model'!P$236:P$327,'Graph Data'!$E37)</f>
        <v>0</v>
      </c>
      <c r="Q37" s="3">
        <f>INDEX('Financial Model'!Q$236:Q$327,'Graph Data'!$E37)</f>
        <v>0</v>
      </c>
      <c r="R37" s="3">
        <f>INDEX('Financial Model'!R$236:R$327,'Graph Data'!$E37)</f>
        <v>0</v>
      </c>
      <c r="S37" s="3">
        <f>INDEX('Financial Model'!S$236:S$327,'Graph Data'!$E37)</f>
        <v>0</v>
      </c>
      <c r="T37" s="3">
        <f>INDEX('Financial Model'!T$236:T$327,'Graph Data'!$E37)</f>
        <v>0</v>
      </c>
    </row>
    <row r="38" spans="4:20" x14ac:dyDescent="0.25">
      <c r="D38">
        <f t="shared" si="0"/>
        <v>35</v>
      </c>
      <c r="E38">
        <f>MATCH(D38,'Financial Model'!$E$236:$E$327,0)</f>
        <v>54</v>
      </c>
      <c r="F38" t="str">
        <f>INDEX('Financial Model'!$D$236:$D$327,'Graph Data'!E38)</f>
        <v>EBITDA</v>
      </c>
      <c r="I38" s="3">
        <f>INDEX('Financial Model'!I$236:I$327,'Graph Data'!$E38)</f>
        <v>1190330303.5500312</v>
      </c>
      <c r="J38" s="3">
        <f>INDEX('Financial Model'!J$236:J$327,'Graph Data'!$E38)</f>
        <v>806071086.80130529</v>
      </c>
      <c r="K38" s="3">
        <f>INDEX('Financial Model'!K$236:K$327,'Graph Data'!$E38)</f>
        <v>1579952239.4920807</v>
      </c>
      <c r="L38" s="3">
        <f>INDEX('Financial Model'!L$236:L$327,'Graph Data'!$E38)</f>
        <v>1078315384.0636816</v>
      </c>
      <c r="M38" s="3">
        <f>INDEX('Financial Model'!M$236:M$327,'Graph Data'!$E38)</f>
        <v>1090605083.9566202</v>
      </c>
      <c r="N38" s="3">
        <f>INDEX('Financial Model'!N$236:N$327,'Graph Data'!$E38)</f>
        <v>1203655219.4122267</v>
      </c>
      <c r="O38" s="3">
        <f>INDEX('Financial Model'!O$236:O$327,'Graph Data'!$E38)</f>
        <v>1327510969.2059765</v>
      </c>
      <c r="P38" s="3">
        <f>INDEX('Financial Model'!P$236:P$327,'Graph Data'!$E38)</f>
        <v>1463315406.7720852</v>
      </c>
      <c r="Q38" s="3">
        <f>INDEX('Financial Model'!Q$236:Q$327,'Graph Data'!$E38)</f>
        <v>1612318087.9855127</v>
      </c>
      <c r="R38" s="3">
        <f>INDEX('Financial Model'!R$236:R$327,'Graph Data'!$E38)</f>
        <v>1775886678.8836079</v>
      </c>
      <c r="S38" s="3">
        <f>INDEX('Financial Model'!S$236:S$327,'Graph Data'!$E38)</f>
        <v>1955519623.5543776</v>
      </c>
      <c r="T38" s="3">
        <f>INDEX('Financial Model'!T$236:T$327,'Graph Data'!$E38)</f>
        <v>2152859971.5551491</v>
      </c>
    </row>
    <row r="39" spans="4:20" x14ac:dyDescent="0.25">
      <c r="D39">
        <f t="shared" si="0"/>
        <v>36</v>
      </c>
      <c r="E39">
        <f>MATCH(D39,'Financial Model'!$E$236:$E$327,0)</f>
        <v>57</v>
      </c>
      <c r="F39" t="str">
        <f>INDEX('Financial Model'!$D$236:$D$327,'Graph Data'!E39)</f>
        <v>A/R as Pct of Sales</v>
      </c>
      <c r="I39" s="3">
        <f>INDEX('Financial Model'!I$236:I$327,'Graph Data'!$E39)</f>
        <v>0.32902824120649049</v>
      </c>
      <c r="J39" s="3">
        <f>INDEX('Financial Model'!J$236:J$327,'Graph Data'!$E39)</f>
        <v>0.52414105770328245</v>
      </c>
      <c r="K39" s="3">
        <f>INDEX('Financial Model'!K$236:K$327,'Graph Data'!$E39)</f>
        <v>0.26857406118203098</v>
      </c>
      <c r="L39" s="3">
        <f>INDEX('Financial Model'!L$236:L$327,'Graph Data'!$E39)</f>
        <v>0.12055342713593653</v>
      </c>
      <c r="M39" s="3">
        <f>INDEX('Financial Model'!M$236:M$327,'Graph Data'!$E39)</f>
        <v>0.12055342713593653</v>
      </c>
      <c r="N39" s="3">
        <f>INDEX('Financial Model'!N$236:N$327,'Graph Data'!$E39)</f>
        <v>0.12055342713593653</v>
      </c>
      <c r="O39" s="3">
        <f>INDEX('Financial Model'!O$236:O$327,'Graph Data'!$E39)</f>
        <v>0.12055342713593653</v>
      </c>
      <c r="P39" s="3">
        <f>INDEX('Financial Model'!P$236:P$327,'Graph Data'!$E39)</f>
        <v>0.12055342713593653</v>
      </c>
      <c r="Q39" s="3">
        <f>INDEX('Financial Model'!Q$236:Q$327,'Graph Data'!$E39)</f>
        <v>0.12055342713593653</v>
      </c>
      <c r="R39" s="3">
        <f>INDEX('Financial Model'!R$236:R$327,'Graph Data'!$E39)</f>
        <v>0.12055342713593653</v>
      </c>
      <c r="S39" s="3">
        <f>INDEX('Financial Model'!S$236:S$327,'Graph Data'!$E39)</f>
        <v>0.12055342713593653</v>
      </c>
      <c r="T39" s="3">
        <f>INDEX('Financial Model'!T$236:T$327,'Graph Data'!$E39)</f>
        <v>0.12055342713593653</v>
      </c>
    </row>
    <row r="40" spans="4:20" x14ac:dyDescent="0.25">
      <c r="D40">
        <f t="shared" si="0"/>
        <v>37</v>
      </c>
      <c r="E40">
        <f>MATCH(D40,'Financial Model'!$E$236:$E$327,0)</f>
        <v>58</v>
      </c>
      <c r="F40" t="str">
        <f>INDEX('Financial Model'!$D$236:$D$327,'Graph Data'!E40)</f>
        <v>A/R Level</v>
      </c>
      <c r="I40" s="3">
        <f>INDEX('Financial Model'!I$236:I$327,'Graph Data'!$E40)</f>
        <v>1245139764.7676899</v>
      </c>
      <c r="J40" s="3">
        <f>INDEX('Financial Model'!J$236:J$327,'Graph Data'!$E40)</f>
        <v>2036003278.9981699</v>
      </c>
      <c r="K40" s="3">
        <f>INDEX('Financial Model'!K$236:K$327,'Graph Data'!$E40)</f>
        <v>1472013088.9761636</v>
      </c>
      <c r="L40" s="3">
        <f>INDEX('Financial Model'!L$236:L$327,'Graph Data'!$E40)</f>
        <v>614928927.08496583</v>
      </c>
      <c r="M40" s="3">
        <f>INDEX('Financial Model'!M$236:M$327,'Graph Data'!$E40)</f>
        <v>676421819.7934624</v>
      </c>
      <c r="N40" s="3">
        <f>INDEX('Financial Model'!N$236:N$327,'Graph Data'!$E40)</f>
        <v>744064001.77280879</v>
      </c>
      <c r="O40" s="3">
        <f>INDEX('Financial Model'!O$236:O$327,'Graph Data'!$E40)</f>
        <v>818470401.95008969</v>
      </c>
      <c r="P40" s="3">
        <f>INDEX('Financial Model'!P$236:P$327,'Graph Data'!$E40)</f>
        <v>900317442.14509881</v>
      </c>
      <c r="Q40" s="3">
        <f>INDEX('Financial Model'!Q$236:Q$327,'Graph Data'!$E40)</f>
        <v>990349186.35960865</v>
      </c>
      <c r="R40" s="3">
        <f>INDEX('Financial Model'!R$236:R$327,'Graph Data'!$E40)</f>
        <v>1089384104.9955695</v>
      </c>
      <c r="S40" s="3">
        <f>INDEX('Financial Model'!S$236:S$327,'Graph Data'!$E40)</f>
        <v>1198322515.4951267</v>
      </c>
      <c r="T40" s="3">
        <f>INDEX('Financial Model'!T$236:T$327,'Graph Data'!$E40)</f>
        <v>1318154767.0446396</v>
      </c>
    </row>
    <row r="41" spans="4:20" x14ac:dyDescent="0.25">
      <c r="D41">
        <f t="shared" si="0"/>
        <v>38</v>
      </c>
      <c r="E41">
        <f>MATCH(D41,'Financial Model'!$E$236:$E$327,0)</f>
        <v>60</v>
      </c>
      <c r="F41" t="str">
        <f>INDEX('Financial Model'!$D$236:$D$327,'Graph Data'!E41)</f>
        <v>Supplies as Pct of CGS</v>
      </c>
      <c r="I41" s="3">
        <f>INDEX('Financial Model'!I$236:I$327,'Graph Data'!$E41)</f>
        <v>1.1410288265393824</v>
      </c>
      <c r="J41" s="3">
        <f>INDEX('Financial Model'!J$236:J$327,'Graph Data'!$E41)</f>
        <v>1.8331361955189398</v>
      </c>
      <c r="K41" s="3">
        <f>INDEX('Financial Model'!K$236:K$327,'Graph Data'!$E41)</f>
        <v>0.96819687316189018</v>
      </c>
      <c r="L41" s="3">
        <f>INDEX('Financial Model'!L$236:L$327,'Graph Data'!$E41)</f>
        <v>1.1768071234021473</v>
      </c>
      <c r="M41" s="3">
        <f>INDEX('Financial Model'!M$236:M$327,'Graph Data'!$E41)</f>
        <v>1.1768071234021473</v>
      </c>
      <c r="N41" s="3">
        <f>INDEX('Financial Model'!N$236:N$327,'Graph Data'!$E41)</f>
        <v>1.1768071234021473</v>
      </c>
      <c r="O41" s="3">
        <f>INDEX('Financial Model'!O$236:O$327,'Graph Data'!$E41)</f>
        <v>1.1768071234021473</v>
      </c>
      <c r="P41" s="3">
        <f>INDEX('Financial Model'!P$236:P$327,'Graph Data'!$E41)</f>
        <v>1.1768071234021473</v>
      </c>
      <c r="Q41" s="3">
        <f>INDEX('Financial Model'!Q$236:Q$327,'Graph Data'!$E41)</f>
        <v>1.1768071234021473</v>
      </c>
      <c r="R41" s="3">
        <f>INDEX('Financial Model'!R$236:R$327,'Graph Data'!$E41)</f>
        <v>1.1768071234021473</v>
      </c>
      <c r="S41" s="3">
        <f>INDEX('Financial Model'!S$236:S$327,'Graph Data'!$E41)</f>
        <v>1.1768071234021473</v>
      </c>
      <c r="T41" s="3">
        <f>INDEX('Financial Model'!T$236:T$327,'Graph Data'!$E41)</f>
        <v>1.1768071234021473</v>
      </c>
    </row>
    <row r="42" spans="4:20" x14ac:dyDescent="0.25">
      <c r="D42">
        <f t="shared" si="0"/>
        <v>39</v>
      </c>
      <c r="E42">
        <f>MATCH(D42,'Financial Model'!$E$236:$E$327,0)</f>
        <v>61</v>
      </c>
      <c r="F42" t="str">
        <f>INDEX('Financial Model'!$D$236:$D$327,'Graph Data'!E42)</f>
        <v>Total Supplies</v>
      </c>
      <c r="I42" s="3">
        <f>INDEX('Financial Model'!I$236:I$327,'Graph Data'!$E42)</f>
        <v>1092132238.2381248</v>
      </c>
      <c r="J42" s="3">
        <f>INDEX('Financial Model'!J$236:J$327,'Graph Data'!$E42)</f>
        <v>1614585981.0089502</v>
      </c>
      <c r="K42" s="3">
        <f>INDEX('Financial Model'!K$236:K$327,'Graph Data'!$E42)</f>
        <v>1501776768.6604426</v>
      </c>
      <c r="L42" s="3">
        <f>INDEX('Financial Model'!L$236:L$327,'Graph Data'!$E42)</f>
        <v>1615311080.3556349</v>
      </c>
      <c r="M42" s="3">
        <f>INDEX('Financial Model'!M$236:M$327,'Graph Data'!$E42)</f>
        <v>1848848678.6592903</v>
      </c>
      <c r="N42" s="3">
        <f>INDEX('Financial Model'!N$236:N$327,'Graph Data'!$E42)</f>
        <v>2033733546.5252194</v>
      </c>
      <c r="O42" s="3">
        <f>INDEX('Financial Model'!O$236:O$327,'Graph Data'!$E42)</f>
        <v>2237106901.1777415</v>
      </c>
      <c r="P42" s="3">
        <f>INDEX('Financial Model'!P$236:P$327,'Graph Data'!$E42)</f>
        <v>2460817591.295516</v>
      </c>
      <c r="Q42" s="3">
        <f>INDEX('Financial Model'!Q$236:Q$327,'Graph Data'!$E42)</f>
        <v>2706899350.4250679</v>
      </c>
      <c r="R42" s="3">
        <f>INDEX('Financial Model'!R$236:R$327,'Graph Data'!$E42)</f>
        <v>2977589285.4675746</v>
      </c>
      <c r="S42" s="3">
        <f>INDEX('Financial Model'!S$236:S$327,'Graph Data'!$E42)</f>
        <v>3275348214.0143323</v>
      </c>
      <c r="T42" s="3">
        <f>INDEX('Financial Model'!T$236:T$327,'Graph Data'!$E42)</f>
        <v>3602883035.4157658</v>
      </c>
    </row>
    <row r="43" spans="4:20" x14ac:dyDescent="0.25">
      <c r="D43">
        <f t="shared" si="0"/>
        <v>40</v>
      </c>
      <c r="E43">
        <f>MATCH(D43,'Financial Model'!$E$236:$E$327,0)</f>
        <v>63</v>
      </c>
      <c r="F43" t="str">
        <f>INDEX('Financial Model'!$D$236:$D$327,'Graph Data'!E43)</f>
        <v>Payable as Pct CGS</v>
      </c>
      <c r="I43" s="3">
        <f>INDEX('Financial Model'!I$236:I$327,'Graph Data'!$E43)</f>
        <v>0.37276151415019898</v>
      </c>
      <c r="J43" s="3">
        <f>INDEX('Financial Model'!J$236:J$327,'Graph Data'!$E43)</f>
        <v>1.8329683767776335</v>
      </c>
      <c r="K43" s="3">
        <f>INDEX('Financial Model'!K$236:K$327,'Graph Data'!$E43)</f>
        <v>0.33997959661948068</v>
      </c>
      <c r="L43" s="3">
        <f>INDEX('Financial Model'!L$236:L$327,'Graph Data'!$E43)</f>
        <v>0.52551452247214692</v>
      </c>
      <c r="M43" s="3">
        <f>INDEX('Financial Model'!M$236:M$327,'Graph Data'!$E43)</f>
        <v>0.52551452247214692</v>
      </c>
      <c r="N43" s="3">
        <f>INDEX('Financial Model'!N$236:N$327,'Graph Data'!$E43)</f>
        <v>0.52551452247214692</v>
      </c>
      <c r="O43" s="3">
        <f>INDEX('Financial Model'!O$236:O$327,'Graph Data'!$E43)</f>
        <v>0.52551452247214692</v>
      </c>
      <c r="P43" s="3">
        <f>INDEX('Financial Model'!P$236:P$327,'Graph Data'!$E43)</f>
        <v>0.52551452247214692</v>
      </c>
      <c r="Q43" s="3">
        <f>INDEX('Financial Model'!Q$236:Q$327,'Graph Data'!$E43)</f>
        <v>0.52551452247214692</v>
      </c>
      <c r="R43" s="3">
        <f>INDEX('Financial Model'!R$236:R$327,'Graph Data'!$E43)</f>
        <v>0.52551452247214692</v>
      </c>
      <c r="S43" s="3">
        <f>INDEX('Financial Model'!S$236:S$327,'Graph Data'!$E43)</f>
        <v>0.52551452247214692</v>
      </c>
      <c r="T43" s="3">
        <f>INDEX('Financial Model'!T$236:T$327,'Graph Data'!$E43)</f>
        <v>0.52551452247214692</v>
      </c>
    </row>
    <row r="44" spans="4:20" x14ac:dyDescent="0.25">
      <c r="D44">
        <f t="shared" si="0"/>
        <v>41</v>
      </c>
      <c r="E44">
        <f>MATCH(D44,'Financial Model'!$E$236:$E$327,0)</f>
        <v>64</v>
      </c>
      <c r="F44" t="str">
        <f>INDEX('Financial Model'!$D$236:$D$327,'Graph Data'!E44)</f>
        <v>Total Payable</v>
      </c>
      <c r="I44" s="3">
        <f>INDEX('Financial Model'!I$236:I$327,'Graph Data'!$E44)</f>
        <v>356787538.84999955</v>
      </c>
      <c r="J44" s="3">
        <f>INDEX('Financial Model'!J$236:J$327,'Graph Data'!$E44)</f>
        <v>1614438169.9582896</v>
      </c>
      <c r="K44" s="3">
        <f>INDEX('Financial Model'!K$236:K$327,'Graph Data'!$E44)</f>
        <v>527344669.43099964</v>
      </c>
      <c r="L44" s="3">
        <f>INDEX('Financial Model'!L$236:L$327,'Graph Data'!$E44)</f>
        <v>721332675.64099979</v>
      </c>
      <c r="M44" s="3">
        <f>INDEX('Financial Model'!M$236:M$327,'Graph Data'!$E44)</f>
        <v>825621132.9516871</v>
      </c>
      <c r="N44" s="3">
        <f>INDEX('Financial Model'!N$236:N$327,'Graph Data'!$E44)</f>
        <v>908183246.24685585</v>
      </c>
      <c r="O44" s="3">
        <f>INDEX('Financial Model'!O$236:O$327,'Graph Data'!$E44)</f>
        <v>999001570.87154162</v>
      </c>
      <c r="P44" s="3">
        <f>INDEX('Financial Model'!P$236:P$327,'Graph Data'!$E44)</f>
        <v>1098901727.9586959</v>
      </c>
      <c r="Q44" s="3">
        <f>INDEX('Financial Model'!Q$236:Q$327,'Graph Data'!$E44)</f>
        <v>1208791900.7545655</v>
      </c>
      <c r="R44" s="3">
        <f>INDEX('Financial Model'!R$236:R$327,'Graph Data'!$E44)</f>
        <v>1329671090.8300221</v>
      </c>
      <c r="S44" s="3">
        <f>INDEX('Financial Model'!S$236:S$327,'Graph Data'!$E44)</f>
        <v>1462638199.9130244</v>
      </c>
      <c r="T44" s="3">
        <f>INDEX('Financial Model'!T$236:T$327,'Graph Data'!$E44)</f>
        <v>1608902019.9043269</v>
      </c>
    </row>
    <row r="45" spans="4:20" x14ac:dyDescent="0.25">
      <c r="D45">
        <f t="shared" si="0"/>
        <v>42</v>
      </c>
      <c r="E45">
        <f>MATCH(D45,'Financial Model'!$E$236:$E$327,0)</f>
        <v>66</v>
      </c>
      <c r="F45" t="str">
        <f>INDEX('Financial Model'!$D$236:$D$327,'Graph Data'!E45)</f>
        <v>Total Working Capital</v>
      </c>
      <c r="I45" s="3">
        <f>INDEX('Financial Model'!I$236:I$327,'Graph Data'!$E45)</f>
        <v>1980484464.1558151</v>
      </c>
      <c r="J45" s="3">
        <f>INDEX('Financial Model'!J$236:J$327,'Graph Data'!$E45)</f>
        <v>2036151090.0488305</v>
      </c>
      <c r="K45" s="3">
        <f>INDEX('Financial Model'!K$236:K$327,'Graph Data'!$E45)</f>
        <v>2446445188.2056065</v>
      </c>
      <c r="L45" s="3">
        <f>INDEX('Financial Model'!L$236:L$327,'Graph Data'!$E45)</f>
        <v>1508907331.7996011</v>
      </c>
      <c r="M45" s="3">
        <f>INDEX('Financial Model'!M$236:M$327,'Graph Data'!$E45)</f>
        <v>1699649365.5010655</v>
      </c>
      <c r="N45" s="3">
        <f>INDEX('Financial Model'!N$236:N$327,'Graph Data'!$E45)</f>
        <v>1869614302.0511723</v>
      </c>
      <c r="O45" s="3">
        <f>INDEX('Financial Model'!O$236:O$327,'Graph Data'!$E45)</f>
        <v>2056575732.25629</v>
      </c>
      <c r="P45" s="3">
        <f>INDEX('Financial Model'!P$236:P$327,'Graph Data'!$E45)</f>
        <v>2262233305.4819188</v>
      </c>
      <c r="Q45" s="3">
        <f>INDEX('Financial Model'!Q$236:Q$327,'Graph Data'!$E45)</f>
        <v>2488456636.0301113</v>
      </c>
      <c r="R45" s="3">
        <f>INDEX('Financial Model'!R$236:R$327,'Graph Data'!$E45)</f>
        <v>2737302299.6331224</v>
      </c>
      <c r="S45" s="3">
        <f>INDEX('Financial Model'!S$236:S$327,'Graph Data'!$E45)</f>
        <v>3011032529.5964341</v>
      </c>
      <c r="T45" s="3">
        <f>INDEX('Financial Model'!T$236:T$327,'Graph Data'!$E45)</f>
        <v>3312135782.5560784</v>
      </c>
    </row>
    <row r="46" spans="4:20" x14ac:dyDescent="0.25">
      <c r="D46">
        <f t="shared" si="0"/>
        <v>43</v>
      </c>
      <c r="E46">
        <f>MATCH(D46,'Financial Model'!$E$236:$E$327,0)</f>
        <v>67</v>
      </c>
      <c r="F46" t="str">
        <f>INDEX('Financial Model'!$D$236:$D$327,'Graph Data'!E46)</f>
        <v>Change in Working Capital</v>
      </c>
      <c r="I46" s="3">
        <f>INDEX('Financial Model'!I$236:I$327,'Graph Data'!$E46)</f>
        <v>0</v>
      </c>
      <c r="J46" s="3">
        <f>INDEX('Financial Model'!J$236:J$327,'Graph Data'!$E46)</f>
        <v>55666625.893015385</v>
      </c>
      <c r="K46" s="3">
        <f>INDEX('Financial Model'!K$236:K$327,'Graph Data'!$E46)</f>
        <v>410294098.15677595</v>
      </c>
      <c r="L46" s="3">
        <f>INDEX('Financial Model'!L$236:L$327,'Graph Data'!$E46)</f>
        <v>-937537856.40600538</v>
      </c>
      <c r="M46" s="3">
        <f>INDEX('Financial Model'!M$236:M$327,'Graph Data'!$E46)</f>
        <v>190742033.70146441</v>
      </c>
      <c r="N46" s="3">
        <f>INDEX('Financial Model'!N$236:N$327,'Graph Data'!$E46)</f>
        <v>169964936.55010676</v>
      </c>
      <c r="O46" s="3">
        <f>INDEX('Financial Model'!O$236:O$327,'Graph Data'!$E46)</f>
        <v>186961430.2051177</v>
      </c>
      <c r="P46" s="3">
        <f>INDEX('Financial Model'!P$236:P$327,'Graph Data'!$E46)</f>
        <v>205657573.22562885</v>
      </c>
      <c r="Q46" s="3">
        <f>INDEX('Financial Model'!Q$236:Q$327,'Graph Data'!$E46)</f>
        <v>226223330.5481925</v>
      </c>
      <c r="R46" s="3">
        <f>INDEX('Financial Model'!R$236:R$327,'Graph Data'!$E46)</f>
        <v>248845663.60301113</v>
      </c>
      <c r="S46" s="3">
        <f>INDEX('Financial Model'!S$236:S$327,'Graph Data'!$E46)</f>
        <v>273730229.96331167</v>
      </c>
      <c r="T46" s="3">
        <f>INDEX('Financial Model'!T$236:T$327,'Graph Data'!$E46)</f>
        <v>301103252.95964432</v>
      </c>
    </row>
    <row r="47" spans="4:20" x14ac:dyDescent="0.25">
      <c r="D47">
        <f t="shared" si="0"/>
        <v>44</v>
      </c>
      <c r="E47">
        <f>MATCH(D47,'Financial Model'!$E$236:$E$327,0)</f>
        <v>70</v>
      </c>
      <c r="F47" t="str">
        <f>INDEX('Financial Model'!$D$236:$D$327,'Graph Data'!E47)</f>
        <v>Captial Expenditures</v>
      </c>
      <c r="I47" s="3">
        <f>INDEX('Financial Model'!I$236:I$327,'Graph Data'!$E47)</f>
        <v>0</v>
      </c>
      <c r="J47" s="3">
        <f>INDEX('Financial Model'!J$236:J$327,'Graph Data'!$E47)</f>
        <v>219263835.04000002</v>
      </c>
      <c r="K47" s="3">
        <f>INDEX('Financial Model'!K$236:K$327,'Graph Data'!$E47)</f>
        <v>107875748.44720006</v>
      </c>
      <c r="L47" s="3">
        <f>INDEX('Financial Model'!L$236:L$327,'Graph Data'!$E47)</f>
        <v>168312333.91000003</v>
      </c>
      <c r="M47" s="3">
        <f>INDEX('Financial Model'!M$236:M$327,'Graph Data'!$E47)</f>
        <v>169400000</v>
      </c>
      <c r="N47" s="3">
        <f>INDEX('Financial Model'!N$236:N$327,'Graph Data'!$E47)</f>
        <v>186340000.00000003</v>
      </c>
      <c r="O47" s="3">
        <f>INDEX('Financial Model'!O$236:O$327,'Graph Data'!$E47)</f>
        <v>204974000.00000006</v>
      </c>
      <c r="P47" s="3">
        <f>INDEX('Financial Model'!P$236:P$327,'Graph Data'!$E47)</f>
        <v>225471400.00000009</v>
      </c>
      <c r="Q47" s="3">
        <f>INDEX('Financial Model'!Q$236:Q$327,'Graph Data'!$E47)</f>
        <v>248018540.00000012</v>
      </c>
      <c r="R47" s="3">
        <f>INDEX('Financial Model'!R$236:R$327,'Graph Data'!$E47)</f>
        <v>272820394.00000018</v>
      </c>
      <c r="S47" s="3">
        <f>INDEX('Financial Model'!S$236:S$327,'Graph Data'!$E47)</f>
        <v>300102433.40000021</v>
      </c>
      <c r="T47" s="3">
        <f>INDEX('Financial Model'!T$236:T$327,'Graph Data'!$E47)</f>
        <v>330112676.74000025</v>
      </c>
    </row>
    <row r="48" spans="4:20" x14ac:dyDescent="0.25">
      <c r="D48">
        <f t="shared" si="0"/>
        <v>45</v>
      </c>
      <c r="E48">
        <f>MATCH(D48,'Financial Model'!$E$236:$E$327,0)</f>
        <v>71</v>
      </c>
      <c r="F48" t="str">
        <f>INDEX('Financial Model'!$D$236:$D$327,'Graph Data'!E48)</f>
        <v>Depreciation as Percent of Net Plant</v>
      </c>
      <c r="I48" s="3">
        <f>INDEX('Financial Model'!I$236:I$327,'Graph Data'!$E48)</f>
        <v>0</v>
      </c>
      <c r="J48" s="3">
        <f>INDEX('Financial Model'!J$236:J$327,'Graph Data'!$E48)</f>
        <v>3.0212644665502594E-2</v>
      </c>
      <c r="K48" s="3">
        <f>INDEX('Financial Model'!K$236:K$327,'Graph Data'!$E48)</f>
        <v>0.1071628047841874</v>
      </c>
      <c r="L48" s="3">
        <f>INDEX('Financial Model'!L$236:L$327,'Graph Data'!$E48)</f>
        <v>0.12517440851316325</v>
      </c>
      <c r="M48" s="3">
        <f>INDEX('Financial Model'!M$236:M$327,'Graph Data'!$E48)</f>
        <v>0.12517440851316325</v>
      </c>
      <c r="N48" s="3">
        <f>INDEX('Financial Model'!N$236:N$327,'Graph Data'!$E48)</f>
        <v>0.12517440851316325</v>
      </c>
      <c r="O48" s="3">
        <f>INDEX('Financial Model'!O$236:O$327,'Graph Data'!$E48)</f>
        <v>0.12517440851316325</v>
      </c>
      <c r="P48" s="3">
        <f>INDEX('Financial Model'!P$236:P$327,'Graph Data'!$E48)</f>
        <v>0.12517440851316325</v>
      </c>
      <c r="Q48" s="3">
        <f>INDEX('Financial Model'!Q$236:Q$327,'Graph Data'!$E48)</f>
        <v>0.12517440851316325</v>
      </c>
      <c r="R48" s="3">
        <f>INDEX('Financial Model'!R$236:R$327,'Graph Data'!$E48)</f>
        <v>0.12517440851316325</v>
      </c>
      <c r="S48" s="3">
        <f>INDEX('Financial Model'!S$236:S$327,'Graph Data'!$E48)</f>
        <v>0.12517440851316325</v>
      </c>
      <c r="T48" s="3">
        <f>INDEX('Financial Model'!T$236:T$327,'Graph Data'!$E48)</f>
        <v>0.12517440851316325</v>
      </c>
    </row>
    <row r="49" spans="4:20" x14ac:dyDescent="0.25">
      <c r="D49">
        <f t="shared" si="0"/>
        <v>46</v>
      </c>
      <c r="E49">
        <f>MATCH(D49,'Financial Model'!$E$236:$E$327,0)</f>
        <v>72</v>
      </c>
      <c r="F49" t="str">
        <f>INDEX('Financial Model'!$D$236:$D$327,'Graph Data'!E49)</f>
        <v>Depreciation Expense</v>
      </c>
      <c r="I49" s="3">
        <f>INDEX('Financial Model'!I$236:I$327,'Graph Data'!$E49)</f>
        <v>0</v>
      </c>
      <c r="J49" s="3">
        <f>INDEX('Financial Model'!J$236:J$327,'Graph Data'!$E49)</f>
        <v>25464384.059999999</v>
      </c>
      <c r="K49" s="3">
        <f>INDEX('Financial Model'!K$236:K$327,'Graph Data'!$E49)</f>
        <v>111089044.38</v>
      </c>
      <c r="L49" s="3">
        <f>INDEX('Financial Model'!L$236:L$327,'Graph Data'!$E49)</f>
        <v>129358336.3</v>
      </c>
      <c r="M49" s="3">
        <f>INDEX('Financial Model'!M$236:M$327,'Graph Data'!$E49)</f>
        <v>134234379.91005492</v>
      </c>
      <c r="N49" s="3">
        <f>INDEX('Financial Model'!N$236:N$327,'Graph Data'!$E49)</f>
        <v>138636215.60481241</v>
      </c>
      <c r="O49" s="3">
        <f>INDEX('Financial Model'!O$236:O$327,'Graph Data'!$E49)</f>
        <v>144607508.6003195</v>
      </c>
      <c r="P49" s="3">
        <f>INDEX('Financial Model'!P$236:P$327,'Graph Data'!$E49)</f>
        <v>152163848.45528948</v>
      </c>
      <c r="Q49" s="3">
        <f>INDEX('Financial Model'!Q$236:Q$327,'Graph Data'!$E49)</f>
        <v>161340077.85944685</v>
      </c>
      <c r="R49" s="3">
        <f>INDEX('Financial Model'!R$236:R$327,'Graph Data'!$E49)</f>
        <v>172190003.08872122</v>
      </c>
      <c r="S49" s="3">
        <f>INDEX('Financial Model'!S$236:S$327,'Graph Data'!$E49)</f>
        <v>184786352.74948895</v>
      </c>
      <c r="T49" s="3">
        <f>INDEX('Financial Model'!T$236:T$327,'Graph Data'!$E49)</f>
        <v>199220974.93697295</v>
      </c>
    </row>
    <row r="50" spans="4:20" x14ac:dyDescent="0.25">
      <c r="D50">
        <f t="shared" si="0"/>
        <v>47</v>
      </c>
      <c r="E50">
        <f>MATCH(D50,'Financial Model'!$E$236:$E$327,0)</f>
        <v>74</v>
      </c>
      <c r="F50" t="str">
        <f>INDEX('Financial Model'!$D$236:$D$327,'Graph Data'!E50)</f>
        <v>Opening Balance</v>
      </c>
      <c r="I50" s="3">
        <f>INDEX('Financial Model'!I$236:I$327,'Graph Data'!$E50)</f>
        <v>0</v>
      </c>
      <c r="J50" s="3">
        <f>INDEX('Financial Model'!J$236:J$327,'Graph Data'!$E50)</f>
        <v>842838630.71000016</v>
      </c>
      <c r="K50" s="3">
        <f>INDEX('Financial Model'!K$236:K$327,'Graph Data'!$E50)</f>
        <v>1036638081.6900002</v>
      </c>
      <c r="L50" s="3">
        <f>INDEX('Financial Model'!L$236:L$327,'Graph Data'!$E50)</f>
        <v>1033424785.7572002</v>
      </c>
      <c r="M50" s="3">
        <f>INDEX('Financial Model'!M$236:M$327,'Graph Data'!$E50)</f>
        <v>1072378783.3672003</v>
      </c>
      <c r="N50" s="3">
        <f>INDEX('Financial Model'!N$236:N$327,'Graph Data'!$E50)</f>
        <v>1107544403.4571455</v>
      </c>
      <c r="O50" s="3">
        <f>INDEX('Financial Model'!O$236:O$327,'Graph Data'!$E50)</f>
        <v>1155248187.8523331</v>
      </c>
      <c r="P50" s="3">
        <f>INDEX('Financial Model'!P$236:P$327,'Graph Data'!$E50)</f>
        <v>1215614679.2520137</v>
      </c>
      <c r="Q50" s="3">
        <f>INDEX('Financial Model'!Q$236:Q$327,'Graph Data'!$E50)</f>
        <v>1288922230.7967243</v>
      </c>
      <c r="R50" s="3">
        <f>INDEX('Financial Model'!R$236:R$327,'Graph Data'!$E50)</f>
        <v>1375600692.9372776</v>
      </c>
      <c r="S50" s="3">
        <f>INDEX('Financial Model'!S$236:S$327,'Graph Data'!$E50)</f>
        <v>1476231083.8485565</v>
      </c>
      <c r="T50" s="3">
        <f>INDEX('Financial Model'!T$236:T$327,'Graph Data'!$E50)</f>
        <v>1591547164.4990678</v>
      </c>
    </row>
    <row r="51" spans="4:20" x14ac:dyDescent="0.25">
      <c r="D51">
        <f t="shared" si="0"/>
        <v>48</v>
      </c>
      <c r="E51">
        <f>MATCH(D51,'Financial Model'!$E$236:$E$327,0)</f>
        <v>75</v>
      </c>
      <c r="F51" t="str">
        <f>INDEX('Financial Model'!$D$236:$D$327,'Graph Data'!E51)</f>
        <v>Add: Cap Exp</v>
      </c>
      <c r="I51" s="3">
        <f>INDEX('Financial Model'!I$236:I$327,'Graph Data'!$E51)</f>
        <v>0</v>
      </c>
      <c r="J51" s="3">
        <f>INDEX('Financial Model'!J$236:J$327,'Graph Data'!$E51)</f>
        <v>219263835.04000002</v>
      </c>
      <c r="K51" s="3">
        <f>INDEX('Financial Model'!K$236:K$327,'Graph Data'!$E51)</f>
        <v>107875748.44720006</v>
      </c>
      <c r="L51" s="3">
        <f>INDEX('Financial Model'!L$236:L$327,'Graph Data'!$E51)</f>
        <v>168312333.91000003</v>
      </c>
      <c r="M51" s="3">
        <f>INDEX('Financial Model'!M$236:M$327,'Graph Data'!$E51)</f>
        <v>169400000</v>
      </c>
      <c r="N51" s="3">
        <f>INDEX('Financial Model'!N$236:N$327,'Graph Data'!$E51)</f>
        <v>186340000.00000003</v>
      </c>
      <c r="O51" s="3">
        <f>INDEX('Financial Model'!O$236:O$327,'Graph Data'!$E51)</f>
        <v>204974000.00000006</v>
      </c>
      <c r="P51" s="3">
        <f>INDEX('Financial Model'!P$236:P$327,'Graph Data'!$E51)</f>
        <v>225471400.00000009</v>
      </c>
      <c r="Q51" s="3">
        <f>INDEX('Financial Model'!Q$236:Q$327,'Graph Data'!$E51)</f>
        <v>248018540.00000012</v>
      </c>
      <c r="R51" s="3">
        <f>INDEX('Financial Model'!R$236:R$327,'Graph Data'!$E51)</f>
        <v>272820394.00000018</v>
      </c>
      <c r="S51" s="3">
        <f>INDEX('Financial Model'!S$236:S$327,'Graph Data'!$E51)</f>
        <v>300102433.40000021</v>
      </c>
      <c r="T51" s="3">
        <f>INDEX('Financial Model'!T$236:T$327,'Graph Data'!$E51)</f>
        <v>330112676.74000025</v>
      </c>
    </row>
    <row r="52" spans="4:20" x14ac:dyDescent="0.25">
      <c r="D52">
        <f t="shared" si="0"/>
        <v>49</v>
      </c>
      <c r="E52">
        <f>MATCH(D52,'Financial Model'!$E$236:$E$327,0)</f>
        <v>76</v>
      </c>
      <c r="F52" t="str">
        <f>INDEX('Financial Model'!$D$236:$D$327,'Graph Data'!E52)</f>
        <v>Less: Depreciation</v>
      </c>
      <c r="I52" s="3">
        <f>INDEX('Financial Model'!I$236:I$327,'Graph Data'!$E52)</f>
        <v>0</v>
      </c>
      <c r="J52" s="3">
        <f>INDEX('Financial Model'!J$236:J$327,'Graph Data'!$E52)</f>
        <v>25464384.059999999</v>
      </c>
      <c r="K52" s="3">
        <f>INDEX('Financial Model'!K$236:K$327,'Graph Data'!$E52)</f>
        <v>111089044.38</v>
      </c>
      <c r="L52" s="3">
        <f>INDEX('Financial Model'!L$236:L$327,'Graph Data'!$E52)</f>
        <v>129358336.3</v>
      </c>
      <c r="M52" s="3">
        <f>INDEX('Financial Model'!M$236:M$327,'Graph Data'!$E52)</f>
        <v>134234379.91005492</v>
      </c>
      <c r="N52" s="3">
        <f>INDEX('Financial Model'!N$236:N$327,'Graph Data'!$E52)</f>
        <v>138636215.60481241</v>
      </c>
      <c r="O52" s="3">
        <f>INDEX('Financial Model'!O$236:O$327,'Graph Data'!$E52)</f>
        <v>144607508.6003195</v>
      </c>
      <c r="P52" s="3">
        <f>INDEX('Financial Model'!P$236:P$327,'Graph Data'!$E52)</f>
        <v>152163848.45528948</v>
      </c>
      <c r="Q52" s="3">
        <f>INDEX('Financial Model'!Q$236:Q$327,'Graph Data'!$E52)</f>
        <v>161340077.85944685</v>
      </c>
      <c r="R52" s="3">
        <f>INDEX('Financial Model'!R$236:R$327,'Graph Data'!$E52)</f>
        <v>172190003.08872122</v>
      </c>
      <c r="S52" s="3">
        <f>INDEX('Financial Model'!S$236:S$327,'Graph Data'!$E52)</f>
        <v>184786352.74948895</v>
      </c>
      <c r="T52" s="3">
        <f>INDEX('Financial Model'!T$236:T$327,'Graph Data'!$E52)</f>
        <v>199220974.93697295</v>
      </c>
    </row>
    <row r="53" spans="4:20" x14ac:dyDescent="0.25">
      <c r="D53">
        <f t="shared" si="0"/>
        <v>50</v>
      </c>
      <c r="E53">
        <f>MATCH(D53,'Financial Model'!$E$236:$E$327,0)</f>
        <v>77</v>
      </c>
      <c r="F53" t="str">
        <f>INDEX('Financial Model'!$D$236:$D$327,'Graph Data'!E53)</f>
        <v>Closing Balance</v>
      </c>
      <c r="I53" s="3">
        <f>INDEX('Financial Model'!I$236:I$327,'Graph Data'!$E53)</f>
        <v>842838630.71000016</v>
      </c>
      <c r="J53" s="3">
        <f>INDEX('Financial Model'!J$236:J$327,'Graph Data'!$E53)</f>
        <v>1036638081.6900002</v>
      </c>
      <c r="K53" s="3">
        <f>INDEX('Financial Model'!K$236:K$327,'Graph Data'!$E53)</f>
        <v>1033424785.7572002</v>
      </c>
      <c r="L53" s="3">
        <f>INDEX('Financial Model'!L$236:L$327,'Graph Data'!$E53)</f>
        <v>1072378783.3672003</v>
      </c>
      <c r="M53" s="3">
        <f>INDEX('Financial Model'!M$236:M$327,'Graph Data'!$E53)</f>
        <v>1107544403.4571455</v>
      </c>
      <c r="N53" s="3">
        <f>INDEX('Financial Model'!N$236:N$327,'Graph Data'!$E53)</f>
        <v>1155248187.8523331</v>
      </c>
      <c r="O53" s="3">
        <f>INDEX('Financial Model'!O$236:O$327,'Graph Data'!$E53)</f>
        <v>1215614679.2520137</v>
      </c>
      <c r="P53" s="3">
        <f>INDEX('Financial Model'!P$236:P$327,'Graph Data'!$E53)</f>
        <v>1288922230.7967243</v>
      </c>
      <c r="Q53" s="3">
        <f>INDEX('Financial Model'!Q$236:Q$327,'Graph Data'!$E53)</f>
        <v>1375600692.9372776</v>
      </c>
      <c r="R53" s="3">
        <f>INDEX('Financial Model'!R$236:R$327,'Graph Data'!$E53)</f>
        <v>1476231083.8485565</v>
      </c>
      <c r="S53" s="3">
        <f>INDEX('Financial Model'!S$236:S$327,'Graph Data'!$E53)</f>
        <v>1591547164.4990678</v>
      </c>
      <c r="T53" s="3">
        <f>INDEX('Financial Model'!T$236:T$327,'Graph Data'!$E53)</f>
        <v>1722438866.3020952</v>
      </c>
    </row>
    <row r="54" spans="4:20" x14ac:dyDescent="0.25">
      <c r="D54">
        <f t="shared" si="0"/>
        <v>51</v>
      </c>
      <c r="E54">
        <f>MATCH(D54,'Financial Model'!$E$236:$E$327,0)</f>
        <v>81</v>
      </c>
      <c r="F54" t="str">
        <f>INDEX('Financial Model'!$D$236:$D$327,'Graph Data'!E54)</f>
        <v>Minimum Cash Balance</v>
      </c>
      <c r="I54" s="3">
        <f>INDEX('Financial Model'!I$236:I$327,'Graph Data'!$E54)</f>
        <v>94228324.520002559</v>
      </c>
      <c r="J54" s="3">
        <f>INDEX('Financial Model'!J$236:J$327,'Graph Data'!$E54)</f>
        <v>719700731.07000268</v>
      </c>
      <c r="K54" s="3">
        <f>INDEX('Financial Model'!K$236:K$327,'Graph Data'!$E54)</f>
        <v>233299232.75999841</v>
      </c>
      <c r="L54" s="3">
        <f>INDEX('Financial Model'!L$236:L$327,'Graph Data'!$E54)</f>
        <v>199035728.0300006</v>
      </c>
      <c r="M54" s="3">
        <f>INDEX('Financial Model'!M$236:M$327,'Graph Data'!$E54)</f>
        <v>168261807.34864902</v>
      </c>
      <c r="N54" s="3">
        <f>INDEX('Financial Model'!N$236:N$327,'Graph Data'!$E54)</f>
        <v>185087988.08351395</v>
      </c>
      <c r="O54" s="3">
        <f>INDEX('Financial Model'!O$236:O$327,'Graph Data'!$E54)</f>
        <v>203596786.89186537</v>
      </c>
      <c r="P54" s="3">
        <f>INDEX('Financial Model'!P$236:P$327,'Graph Data'!$E54)</f>
        <v>223956465.58105192</v>
      </c>
      <c r="Q54" s="3">
        <f>INDEX('Financial Model'!Q$236:Q$327,'Graph Data'!$E54)</f>
        <v>246352112.13915712</v>
      </c>
      <c r="R54" s="3">
        <f>INDEX('Financial Model'!R$236:R$327,'Graph Data'!$E54)</f>
        <v>270987323.35307288</v>
      </c>
      <c r="S54" s="3">
        <f>INDEX('Financial Model'!S$236:S$327,'Graph Data'!$E54)</f>
        <v>298086055.68838018</v>
      </c>
      <c r="T54" s="3">
        <f>INDEX('Financial Model'!T$236:T$327,'Graph Data'!$E54)</f>
        <v>327894661.25721824</v>
      </c>
    </row>
    <row r="55" spans="4:20" x14ac:dyDescent="0.25">
      <c r="D55">
        <f t="shared" si="0"/>
        <v>52</v>
      </c>
      <c r="E55">
        <f>MATCH(D55,'Financial Model'!$E$236:$E$327,0)</f>
        <v>82</v>
      </c>
      <c r="F55" t="str">
        <f>INDEX('Financial Model'!$D$236:$D$327,'Graph Data'!E55)</f>
        <v>Percent of Revenues</v>
      </c>
      <c r="I55" s="3">
        <f>INDEX('Financial Model'!I$236:I$327,'Graph Data'!$E55)</f>
        <v>2.4899839171416509E-2</v>
      </c>
      <c r="J55" s="3">
        <f>INDEX('Financial Model'!J$236:J$327,'Graph Data'!$E55)</f>
        <v>0.18527706035840619</v>
      </c>
      <c r="K55" s="3">
        <f>INDEX('Financial Model'!K$236:K$327,'Graph Data'!$E55)</f>
        <v>4.2566280749980021E-2</v>
      </c>
      <c r="L55" s="3">
        <f>INDEX('Financial Model'!L$236:L$327,'Graph Data'!$E55)</f>
        <v>3.9019857547207895E-2</v>
      </c>
      <c r="M55" s="3">
        <f>INDEX('Financial Model'!M$236:M$327,'Graph Data'!$E55)</f>
        <v>0.03</v>
      </c>
      <c r="N55" s="3">
        <f>INDEX('Financial Model'!N$236:N$327,'Graph Data'!$E55)</f>
        <v>0.03</v>
      </c>
      <c r="O55" s="3">
        <f>INDEX('Financial Model'!O$236:O$327,'Graph Data'!$E55)</f>
        <v>0.03</v>
      </c>
      <c r="P55" s="3">
        <f>INDEX('Financial Model'!P$236:P$327,'Graph Data'!$E55)</f>
        <v>0.03</v>
      </c>
      <c r="Q55" s="3">
        <f>INDEX('Financial Model'!Q$236:Q$327,'Graph Data'!$E55)</f>
        <v>0.03</v>
      </c>
      <c r="R55" s="3">
        <f>INDEX('Financial Model'!R$236:R$327,'Graph Data'!$E55)</f>
        <v>0.03</v>
      </c>
      <c r="S55" s="3">
        <f>INDEX('Financial Model'!S$236:S$327,'Graph Data'!$E55)</f>
        <v>0.03</v>
      </c>
      <c r="T55" s="3">
        <f>INDEX('Financial Model'!T$236:T$327,'Graph Data'!$E55)</f>
        <v>0.03</v>
      </c>
    </row>
    <row r="56" spans="4:20" x14ac:dyDescent="0.25">
      <c r="D56">
        <f t="shared" si="0"/>
        <v>53</v>
      </c>
      <c r="E56">
        <f>MATCH(D56,'Financial Model'!$E$236:$E$327,0)</f>
        <v>83</v>
      </c>
      <c r="F56" t="str">
        <f>INDEX('Financial Model'!$D$236:$D$327,'Graph Data'!E56)</f>
        <v>Required Cash to Meet Minimum Balance</v>
      </c>
      <c r="I56" s="3">
        <f>INDEX('Financial Model'!I$236:I$327,'Graph Data'!$E56)</f>
        <v>94228324.520002559</v>
      </c>
      <c r="J56" s="3">
        <f>INDEX('Financial Model'!J$236:J$327,'Graph Data'!$E56)</f>
        <v>625472406.55000007</v>
      </c>
      <c r="K56" s="3">
        <f>INDEX('Financial Model'!K$236:K$327,'Graph Data'!$E56)</f>
        <v>-486401498.31000423</v>
      </c>
      <c r="L56" s="3">
        <f>INDEX('Financial Model'!L$236:L$327,'Graph Data'!$E56)</f>
        <v>-34263504.729997814</v>
      </c>
      <c r="M56" s="3">
        <f>INDEX('Financial Model'!M$236:M$327,'Graph Data'!$E56)</f>
        <v>-30773920.681351572</v>
      </c>
      <c r="N56" s="3">
        <f>INDEX('Financial Model'!N$236:N$327,'Graph Data'!$E56)</f>
        <v>16826180.73486492</v>
      </c>
      <c r="O56" s="3">
        <f>INDEX('Financial Model'!O$236:O$327,'Graph Data'!$E56)</f>
        <v>18508798.808351427</v>
      </c>
      <c r="P56" s="3">
        <f>INDEX('Financial Model'!P$236:P$327,'Graph Data'!$E56)</f>
        <v>20359678.689186543</v>
      </c>
      <c r="Q56" s="3">
        <f>INDEX('Financial Model'!Q$236:Q$327,'Graph Data'!$E56)</f>
        <v>22395646.558105201</v>
      </c>
      <c r="R56" s="3">
        <f>INDEX('Financial Model'!R$236:R$327,'Graph Data'!$E56)</f>
        <v>24635211.213915765</v>
      </c>
      <c r="S56" s="3">
        <f>INDEX('Financial Model'!S$236:S$327,'Graph Data'!$E56)</f>
        <v>27098732.3353073</v>
      </c>
      <c r="T56" s="3">
        <f>INDEX('Financial Model'!T$236:T$327,'Graph Data'!$E56)</f>
        <v>29808605.56883806</v>
      </c>
    </row>
    <row r="57" spans="4:20" x14ac:dyDescent="0.25">
      <c r="D57">
        <f t="shared" si="0"/>
        <v>54</v>
      </c>
      <c r="E57">
        <f>MATCH(D57,'Financial Model'!$E$236:$E$327,0)</f>
        <v>85</v>
      </c>
      <c r="F57" t="str">
        <f>INDEX('Financial Model'!$D$236:$D$327,'Graph Data'!E57)</f>
        <v>Opening Balance</v>
      </c>
      <c r="I57" s="3">
        <f>INDEX('Financial Model'!I$236:I$327,'Graph Data'!$E57)</f>
        <v>0</v>
      </c>
      <c r="J57" s="3">
        <f>INDEX('Financial Model'!J$236:J$327,'Graph Data'!$E57)</f>
        <v>94228324.520002559</v>
      </c>
      <c r="K57" s="3">
        <f>INDEX('Financial Model'!K$236:K$327,'Graph Data'!$E57)</f>
        <v>719700731.07000268</v>
      </c>
      <c r="L57" s="3">
        <f>INDEX('Financial Model'!L$236:L$327,'Graph Data'!$E57)</f>
        <v>233299232.75999841</v>
      </c>
      <c r="M57" s="3">
        <f>INDEX('Financial Model'!M$236:M$327,'Graph Data'!$E57)</f>
        <v>199035728.0300006</v>
      </c>
      <c r="N57" s="3">
        <f>INDEX('Financial Model'!N$236:N$327,'Graph Data'!$E57)</f>
        <v>168261807.34864902</v>
      </c>
      <c r="O57" s="3">
        <f>INDEX('Financial Model'!O$236:O$327,'Graph Data'!$E57)</f>
        <v>185087988.08351395</v>
      </c>
      <c r="P57" s="3">
        <f>INDEX('Financial Model'!P$236:P$327,'Graph Data'!$E57)</f>
        <v>203596786.89186537</v>
      </c>
      <c r="Q57" s="3">
        <f>INDEX('Financial Model'!Q$236:Q$327,'Graph Data'!$E57)</f>
        <v>223956465.58105192</v>
      </c>
      <c r="R57" s="3">
        <f>INDEX('Financial Model'!R$236:R$327,'Graph Data'!$E57)</f>
        <v>246352112.13915712</v>
      </c>
      <c r="S57" s="3">
        <f>INDEX('Financial Model'!S$236:S$327,'Graph Data'!$E57)</f>
        <v>270987323.35307288</v>
      </c>
      <c r="T57" s="3">
        <f>INDEX('Financial Model'!T$236:T$327,'Graph Data'!$E57)</f>
        <v>298086055.68838018</v>
      </c>
    </row>
    <row r="58" spans="4:20" x14ac:dyDescent="0.25">
      <c r="D58">
        <f t="shared" si="0"/>
        <v>55</v>
      </c>
      <c r="E58">
        <f>MATCH(D58,'Financial Model'!$E$236:$E$327,0)</f>
        <v>86</v>
      </c>
      <c r="F58" t="str">
        <f>INDEX('Financial Model'!$D$236:$D$327,'Graph Data'!E58)</f>
        <v>Add: Cash Used in Cash Flow Statement</v>
      </c>
      <c r="I58" s="3">
        <f>INDEX('Financial Model'!I$236:I$327,'Graph Data'!$E58)</f>
        <v>94228324.520002559</v>
      </c>
      <c r="J58" s="3">
        <f>INDEX('Financial Model'!J$236:J$327,'Graph Data'!$E58)</f>
        <v>625472406.55000007</v>
      </c>
      <c r="K58" s="3">
        <f>INDEX('Financial Model'!K$236:K$327,'Graph Data'!$E58)</f>
        <v>-486401498.31000423</v>
      </c>
      <c r="L58" s="3">
        <f>INDEX('Financial Model'!L$236:L$327,'Graph Data'!$E58)</f>
        <v>-34263504.729997814</v>
      </c>
      <c r="M58" s="3">
        <f>INDEX('Financial Model'!M$236:M$327,'Graph Data'!$E58)</f>
        <v>-30773920.681351572</v>
      </c>
      <c r="N58" s="3">
        <f>INDEX('Financial Model'!N$236:N$327,'Graph Data'!$E58)</f>
        <v>16826180.73486492</v>
      </c>
      <c r="O58" s="3">
        <f>INDEX('Financial Model'!O$236:O$327,'Graph Data'!$E58)</f>
        <v>18508798.808351427</v>
      </c>
      <c r="P58" s="3">
        <f>INDEX('Financial Model'!P$236:P$327,'Graph Data'!$E58)</f>
        <v>20359678.689186543</v>
      </c>
      <c r="Q58" s="3">
        <f>INDEX('Financial Model'!Q$236:Q$327,'Graph Data'!$E58)</f>
        <v>22395646.558105201</v>
      </c>
      <c r="R58" s="3">
        <f>INDEX('Financial Model'!R$236:R$327,'Graph Data'!$E58)</f>
        <v>24635211.213915765</v>
      </c>
      <c r="S58" s="3">
        <f>INDEX('Financial Model'!S$236:S$327,'Graph Data'!$E58)</f>
        <v>27098732.3353073</v>
      </c>
      <c r="T58" s="3">
        <f>INDEX('Financial Model'!T$236:T$327,'Graph Data'!$E58)</f>
        <v>29808605.56883806</v>
      </c>
    </row>
    <row r="59" spans="4:20" x14ac:dyDescent="0.25">
      <c r="D59">
        <f t="shared" si="0"/>
        <v>56</v>
      </c>
      <c r="E59">
        <f>MATCH(D59,'Financial Model'!$E$236:$E$327,0)</f>
        <v>87</v>
      </c>
      <c r="F59" t="str">
        <f>INDEX('Financial Model'!$D$236:$D$327,'Graph Data'!E59)</f>
        <v>Closing Balance</v>
      </c>
      <c r="I59" s="3">
        <f>INDEX('Financial Model'!I$236:I$327,'Graph Data'!$E59)</f>
        <v>94228324.520002559</v>
      </c>
      <c r="J59" s="3">
        <f>INDEX('Financial Model'!J$236:J$327,'Graph Data'!$E59)</f>
        <v>719700731.07000268</v>
      </c>
      <c r="K59" s="3">
        <f>INDEX('Financial Model'!K$236:K$327,'Graph Data'!$E59)</f>
        <v>233299232.75999841</v>
      </c>
      <c r="L59" s="3">
        <f>INDEX('Financial Model'!L$236:L$327,'Graph Data'!$E59)</f>
        <v>199035728.0300006</v>
      </c>
      <c r="M59" s="3">
        <f>INDEX('Financial Model'!M$236:M$327,'Graph Data'!$E59)</f>
        <v>168261807.34864902</v>
      </c>
      <c r="N59" s="3">
        <f>INDEX('Financial Model'!N$236:N$327,'Graph Data'!$E59)</f>
        <v>185087988.08351395</v>
      </c>
      <c r="O59" s="3">
        <f>INDEX('Financial Model'!O$236:O$327,'Graph Data'!$E59)</f>
        <v>203596786.89186537</v>
      </c>
      <c r="P59" s="3">
        <f>INDEX('Financial Model'!P$236:P$327,'Graph Data'!$E59)</f>
        <v>223956465.58105192</v>
      </c>
      <c r="Q59" s="3">
        <f>INDEX('Financial Model'!Q$236:Q$327,'Graph Data'!$E59)</f>
        <v>246352112.13915712</v>
      </c>
      <c r="R59" s="3">
        <f>INDEX('Financial Model'!R$236:R$327,'Graph Data'!$E59)</f>
        <v>270987323.35307288</v>
      </c>
      <c r="S59" s="3">
        <f>INDEX('Financial Model'!S$236:S$327,'Graph Data'!$E59)</f>
        <v>298086055.68838018</v>
      </c>
      <c r="T59" s="3">
        <f>INDEX('Financial Model'!T$236:T$327,'Graph Data'!$E59)</f>
        <v>327894661.25721824</v>
      </c>
    </row>
    <row r="60" spans="4:20" x14ac:dyDescent="0.25">
      <c r="D60">
        <f t="shared" si="0"/>
        <v>57</v>
      </c>
      <c r="E60">
        <f>MATCH(D60,'Financial Model'!$E$236:$E$327,0)</f>
        <v>89</v>
      </c>
      <c r="F60" t="str">
        <f>INDEX('Financial Model'!$D$236:$D$327,'Graph Data'!E60)</f>
        <v>Interest Income</v>
      </c>
      <c r="I60" s="3">
        <f>INDEX('Financial Model'!I$236:I$327,'Graph Data'!$E60)</f>
        <v>0</v>
      </c>
      <c r="J60" s="3">
        <f>INDEX('Financial Model'!J$236:J$327,'Graph Data'!$E60)</f>
        <v>0</v>
      </c>
      <c r="K60" s="3">
        <f>INDEX('Financial Model'!K$236:K$327,'Graph Data'!$E60)</f>
        <v>0</v>
      </c>
      <c r="L60" s="3">
        <f>INDEX('Financial Model'!L$236:L$327,'Graph Data'!$E60)</f>
        <v>0</v>
      </c>
      <c r="M60" s="3">
        <f>INDEX('Financial Model'!M$236:M$327,'Graph Data'!$E60)</f>
        <v>0</v>
      </c>
      <c r="N60" s="3">
        <f>INDEX('Financial Model'!N$236:N$327,'Graph Data'!$E60)</f>
        <v>0</v>
      </c>
      <c r="O60" s="3">
        <f>INDEX('Financial Model'!O$236:O$327,'Graph Data'!$E60)</f>
        <v>0</v>
      </c>
      <c r="P60" s="3">
        <f>INDEX('Financial Model'!P$236:P$327,'Graph Data'!$E60)</f>
        <v>0</v>
      </c>
      <c r="Q60" s="3">
        <f>INDEX('Financial Model'!Q$236:Q$327,'Graph Data'!$E60)</f>
        <v>0</v>
      </c>
      <c r="R60" s="3">
        <f>INDEX('Financial Model'!R$236:R$327,'Graph Data'!$E60)</f>
        <v>0</v>
      </c>
      <c r="S60" s="3">
        <f>INDEX('Financial Model'!S$236:S$327,'Graph Data'!$E60)</f>
        <v>0</v>
      </c>
      <c r="T60" s="3">
        <f>INDEX('Financial Model'!T$236:T$327,'Graph Data'!$E60)</f>
        <v>0</v>
      </c>
    </row>
    <row r="61" spans="4:20" x14ac:dyDescent="0.25">
      <c r="D61">
        <f t="shared" si="0"/>
        <v>58</v>
      </c>
      <c r="E61">
        <f>MATCH(D61,'Financial Model'!$E$236:$E$327,0)</f>
        <v>91</v>
      </c>
      <c r="F61" t="str">
        <f>INDEX('Financial Model'!$D$236:$D$327,'Graph Data'!E61)</f>
        <v>Debt Balance</v>
      </c>
      <c r="I61" s="3">
        <f>INDEX('Financial Model'!I$236:I$327,'Graph Data'!$E61)</f>
        <v>0</v>
      </c>
      <c r="J61" s="3">
        <f>INDEX('Financial Model'!J$236:J$327,'Graph Data'!$E61)</f>
        <v>0</v>
      </c>
      <c r="K61" s="3">
        <f>INDEX('Financial Model'!K$236:K$327,'Graph Data'!$E61)</f>
        <v>0</v>
      </c>
      <c r="L61" s="3">
        <f>INDEX('Financial Model'!L$236:L$327,'Graph Data'!$E61)</f>
        <v>0</v>
      </c>
      <c r="M61" s="3">
        <f>INDEX('Financial Model'!M$236:M$327,'Graph Data'!$E61)</f>
        <v>0</v>
      </c>
      <c r="N61" s="3">
        <f>INDEX('Financial Model'!N$236:N$327,'Graph Data'!$E61)</f>
        <v>0</v>
      </c>
      <c r="O61" s="3">
        <f>INDEX('Financial Model'!O$236:O$327,'Graph Data'!$E61)</f>
        <v>0</v>
      </c>
      <c r="P61" s="3">
        <f>INDEX('Financial Model'!P$236:P$327,'Graph Data'!$E61)</f>
        <v>0</v>
      </c>
      <c r="Q61" s="3">
        <f>INDEX('Financial Model'!Q$236:Q$327,'Graph Data'!$E61)</f>
        <v>0</v>
      </c>
      <c r="R61" s="3">
        <f>INDEX('Financial Model'!R$236:R$327,'Graph Data'!$E61)</f>
        <v>0</v>
      </c>
      <c r="S61" s="3">
        <f>INDEX('Financial Model'!S$236:S$327,'Graph Data'!$E61)</f>
        <v>0</v>
      </c>
      <c r="T61" s="3">
        <f>INDEX('Financial Model'!T$236:T$327,'Graph Data'!$E61)</f>
        <v>0</v>
      </c>
    </row>
    <row r="62" spans="4:20" x14ac:dyDescent="0.25">
      <c r="D62">
        <f t="shared" si="0"/>
        <v>59</v>
      </c>
      <c r="E62">
        <f>MATCH(D62,'Financial Model'!$E$236:$E$327,0)</f>
        <v>92</v>
      </c>
      <c r="F62" t="str">
        <f>INDEX('Financial Model'!$D$236:$D$327,'Graph Data'!E62)</f>
        <v>Interest Expense</v>
      </c>
      <c r="I62" s="3">
        <f>INDEX('Financial Model'!I$236:I$327,'Graph Data'!$E62)</f>
        <v>0</v>
      </c>
      <c r="J62" s="3">
        <f>INDEX('Financial Model'!J$236:J$327,'Graph Data'!$E62)</f>
        <v>0</v>
      </c>
      <c r="K62" s="3">
        <f>INDEX('Financial Model'!K$236:K$327,'Graph Data'!$E62)</f>
        <v>0</v>
      </c>
      <c r="L62" s="3">
        <f>INDEX('Financial Model'!L$236:L$327,'Graph Data'!$E62)</f>
        <v>0</v>
      </c>
      <c r="M62" s="3">
        <f>INDEX('Financial Model'!M$236:M$327,'Graph Data'!$E62)</f>
        <v>0</v>
      </c>
      <c r="N62" s="3">
        <f>INDEX('Financial Model'!N$236:N$327,'Graph Data'!$E62)</f>
        <v>0</v>
      </c>
      <c r="O62" s="3">
        <f>INDEX('Financial Model'!O$236:O$327,'Graph Data'!$E62)</f>
        <v>0</v>
      </c>
      <c r="P62" s="3">
        <f>INDEX('Financial Model'!P$236:P$327,'Graph Data'!$E62)</f>
        <v>0</v>
      </c>
      <c r="Q62" s="3">
        <f>INDEX('Financial Model'!Q$236:Q$327,'Graph Data'!$E62)</f>
        <v>0</v>
      </c>
      <c r="R62" s="3">
        <f>INDEX('Financial Model'!R$236:R$327,'Graph Data'!$E62)</f>
        <v>0</v>
      </c>
      <c r="S62" s="3">
        <f>INDEX('Financial Model'!S$236:S$327,'Graph Data'!$E62)</f>
        <v>0</v>
      </c>
      <c r="T62" s="3">
        <f>INDEX('Financial Model'!T$236:T$327,'Graph Data'!$E62)</f>
        <v>0</v>
      </c>
    </row>
    <row r="63" spans="4:20" x14ac:dyDescent="0.25">
      <c r="D63">
        <f t="shared" si="0"/>
        <v>60</v>
      </c>
      <c r="E63" t="e">
        <f>MATCH(D63,'Financial Model'!$E$236:$E$327,0)</f>
        <v>#N/A</v>
      </c>
      <c r="F63" t="e">
        <f>INDEX('Financial Model'!$D$236:$D$327,'Graph Data'!E63)</f>
        <v>#N/A</v>
      </c>
      <c r="I63" s="3" t="e">
        <f>INDEX('Financial Model'!I$236:I$327,'Graph Data'!$E63)</f>
        <v>#N/A</v>
      </c>
      <c r="J63" s="3" t="e">
        <f>INDEX('Financial Model'!J$236:J$327,'Graph Data'!$E63)</f>
        <v>#N/A</v>
      </c>
      <c r="K63" s="3" t="e">
        <f>INDEX('Financial Model'!K$236:K$327,'Graph Data'!$E63)</f>
        <v>#N/A</v>
      </c>
      <c r="L63" s="3" t="e">
        <f>INDEX('Financial Model'!L$236:L$327,'Graph Data'!$E63)</f>
        <v>#N/A</v>
      </c>
      <c r="M63" s="3" t="e">
        <f>INDEX('Financial Model'!M$236:M$327,'Graph Data'!$E63)</f>
        <v>#N/A</v>
      </c>
      <c r="N63" s="3" t="e">
        <f>INDEX('Financial Model'!N$236:N$327,'Graph Data'!$E63)</f>
        <v>#N/A</v>
      </c>
      <c r="O63" s="3" t="e">
        <f>INDEX('Financial Model'!O$236:O$327,'Graph Data'!$E63)</f>
        <v>#N/A</v>
      </c>
      <c r="P63" s="3" t="e">
        <f>INDEX('Financial Model'!P$236:P$327,'Graph Data'!$E63)</f>
        <v>#N/A</v>
      </c>
      <c r="Q63" s="3" t="e">
        <f>INDEX('Financial Model'!Q$236:Q$327,'Graph Data'!$E63)</f>
        <v>#N/A</v>
      </c>
      <c r="R63" s="3" t="e">
        <f>INDEX('Financial Model'!R$236:R$327,'Graph Data'!$E63)</f>
        <v>#N/A</v>
      </c>
      <c r="S63" s="3" t="e">
        <f>INDEX('Financial Model'!S$236:S$327,'Graph Data'!$E63)</f>
        <v>#N/A</v>
      </c>
      <c r="T63" s="3" t="e">
        <f>INDEX('Financial Model'!T$236:T$327,'Graph Data'!$E63)</f>
        <v>#N/A</v>
      </c>
    </row>
    <row r="64" spans="4:20" x14ac:dyDescent="0.25">
      <c r="D64">
        <f t="shared" si="0"/>
        <v>61</v>
      </c>
      <c r="E64" t="e">
        <f>MATCH(D64,'Financial Model'!$E$236:$E$327,0)</f>
        <v>#N/A</v>
      </c>
      <c r="F64" t="e">
        <f>INDEX('Financial Model'!$D$236:$D$327,'Graph Data'!E64)</f>
        <v>#N/A</v>
      </c>
      <c r="I64" s="3" t="e">
        <f>INDEX('Financial Model'!I$236:I$327,'Graph Data'!$E64)</f>
        <v>#N/A</v>
      </c>
      <c r="J64" s="3" t="e">
        <f>INDEX('Financial Model'!J$236:J$327,'Graph Data'!$E64)</f>
        <v>#N/A</v>
      </c>
      <c r="K64" s="3" t="e">
        <f>INDEX('Financial Model'!K$236:K$327,'Graph Data'!$E64)</f>
        <v>#N/A</v>
      </c>
      <c r="L64" s="3" t="e">
        <f>INDEX('Financial Model'!L$236:L$327,'Graph Data'!$E64)</f>
        <v>#N/A</v>
      </c>
      <c r="M64" s="3" t="e">
        <f>INDEX('Financial Model'!M$236:M$327,'Graph Data'!$E64)</f>
        <v>#N/A</v>
      </c>
      <c r="N64" s="3" t="e">
        <f>INDEX('Financial Model'!N$236:N$327,'Graph Data'!$E64)</f>
        <v>#N/A</v>
      </c>
      <c r="O64" s="3" t="e">
        <f>INDEX('Financial Model'!O$236:O$327,'Graph Data'!$E64)</f>
        <v>#N/A</v>
      </c>
      <c r="P64" s="3" t="e">
        <f>INDEX('Financial Model'!P$236:P$327,'Graph Data'!$E64)</f>
        <v>#N/A</v>
      </c>
      <c r="Q64" s="3" t="e">
        <f>INDEX('Financial Model'!Q$236:Q$327,'Graph Data'!$E64)</f>
        <v>#N/A</v>
      </c>
      <c r="R64" s="3" t="e">
        <f>INDEX('Financial Model'!R$236:R$327,'Graph Data'!$E64)</f>
        <v>#N/A</v>
      </c>
      <c r="S64" s="3" t="e">
        <f>INDEX('Financial Model'!S$236:S$327,'Graph Data'!$E64)</f>
        <v>#N/A</v>
      </c>
      <c r="T64" s="3" t="e">
        <f>INDEX('Financial Model'!T$236:T$327,'Graph Data'!$E64)</f>
        <v>#N/A</v>
      </c>
    </row>
    <row r="65" spans="4:20" x14ac:dyDescent="0.25">
      <c r="D65">
        <f t="shared" si="0"/>
        <v>62</v>
      </c>
      <c r="E65" t="e">
        <f>MATCH(D65,'Financial Model'!$E$236:$E$327,0)</f>
        <v>#N/A</v>
      </c>
      <c r="F65" t="e">
        <f>INDEX('Financial Model'!$D$236:$D$327,'Graph Data'!E65)</f>
        <v>#N/A</v>
      </c>
      <c r="I65" s="3" t="e">
        <f>INDEX('Financial Model'!I$236:I$327,'Graph Data'!$E65)</f>
        <v>#N/A</v>
      </c>
      <c r="J65" s="3" t="e">
        <f>INDEX('Financial Model'!J$236:J$327,'Graph Data'!$E65)</f>
        <v>#N/A</v>
      </c>
      <c r="K65" s="3" t="e">
        <f>INDEX('Financial Model'!K$236:K$327,'Graph Data'!$E65)</f>
        <v>#N/A</v>
      </c>
      <c r="L65" s="3" t="e">
        <f>INDEX('Financial Model'!L$236:L$327,'Graph Data'!$E65)</f>
        <v>#N/A</v>
      </c>
      <c r="M65" s="3" t="e">
        <f>INDEX('Financial Model'!M$236:M$327,'Graph Data'!$E65)</f>
        <v>#N/A</v>
      </c>
      <c r="N65" s="3" t="e">
        <f>INDEX('Financial Model'!N$236:N$327,'Graph Data'!$E65)</f>
        <v>#N/A</v>
      </c>
      <c r="O65" s="3" t="e">
        <f>INDEX('Financial Model'!O$236:O$327,'Graph Data'!$E65)</f>
        <v>#N/A</v>
      </c>
      <c r="P65" s="3" t="e">
        <f>INDEX('Financial Model'!P$236:P$327,'Graph Data'!$E65)</f>
        <v>#N/A</v>
      </c>
      <c r="Q65" s="3" t="e">
        <f>INDEX('Financial Model'!Q$236:Q$327,'Graph Data'!$E65)</f>
        <v>#N/A</v>
      </c>
      <c r="R65" s="3" t="e">
        <f>INDEX('Financial Model'!R$236:R$327,'Graph Data'!$E65)</f>
        <v>#N/A</v>
      </c>
      <c r="S65" s="3" t="e">
        <f>INDEX('Financial Model'!S$236:S$327,'Graph Data'!$E65)</f>
        <v>#N/A</v>
      </c>
      <c r="T65" s="3" t="e">
        <f>INDEX('Financial Model'!T$236:T$327,'Graph Data'!$E65)</f>
        <v>#N/A</v>
      </c>
    </row>
    <row r="66" spans="4:20" x14ac:dyDescent="0.25">
      <c r="D66">
        <f t="shared" si="0"/>
        <v>63</v>
      </c>
      <c r="E66" t="e">
        <f>MATCH(D66,'Financial Model'!$E$236:$E$327,0)</f>
        <v>#N/A</v>
      </c>
      <c r="F66" t="e">
        <f>INDEX('Financial Model'!$D$236:$D$327,'Graph Data'!E66)</f>
        <v>#N/A</v>
      </c>
      <c r="I66" s="3" t="e">
        <f>INDEX('Financial Model'!I$236:I$327,'Graph Data'!$E66)</f>
        <v>#N/A</v>
      </c>
      <c r="J66" s="3" t="e">
        <f>INDEX('Financial Model'!J$236:J$327,'Graph Data'!$E66)</f>
        <v>#N/A</v>
      </c>
      <c r="K66" s="3" t="e">
        <f>INDEX('Financial Model'!K$236:K$327,'Graph Data'!$E66)</f>
        <v>#N/A</v>
      </c>
      <c r="L66" s="3" t="e">
        <f>INDEX('Financial Model'!L$236:L$327,'Graph Data'!$E66)</f>
        <v>#N/A</v>
      </c>
      <c r="M66" s="3" t="e">
        <f>INDEX('Financial Model'!M$236:M$327,'Graph Data'!$E66)</f>
        <v>#N/A</v>
      </c>
      <c r="N66" s="3" t="e">
        <f>INDEX('Financial Model'!N$236:N$327,'Graph Data'!$E66)</f>
        <v>#N/A</v>
      </c>
      <c r="O66" s="3" t="e">
        <f>INDEX('Financial Model'!O$236:O$327,'Graph Data'!$E66)</f>
        <v>#N/A</v>
      </c>
      <c r="P66" s="3" t="e">
        <f>INDEX('Financial Model'!P$236:P$327,'Graph Data'!$E66)</f>
        <v>#N/A</v>
      </c>
      <c r="Q66" s="3" t="e">
        <f>INDEX('Financial Model'!Q$236:Q$327,'Graph Data'!$E66)</f>
        <v>#N/A</v>
      </c>
      <c r="R66" s="3" t="e">
        <f>INDEX('Financial Model'!R$236:R$327,'Graph Data'!$E66)</f>
        <v>#N/A</v>
      </c>
      <c r="S66" s="3" t="e">
        <f>INDEX('Financial Model'!S$236:S$327,'Graph Data'!$E66)</f>
        <v>#N/A</v>
      </c>
      <c r="T66" s="3" t="e">
        <f>INDEX('Financial Model'!T$236:T$327,'Graph Data'!$E66)</f>
        <v>#N/A</v>
      </c>
    </row>
    <row r="67" spans="4:20" x14ac:dyDescent="0.25">
      <c r="D67">
        <f t="shared" si="0"/>
        <v>64</v>
      </c>
      <c r="E67" t="e">
        <f>MATCH(D67,'Financial Model'!$E$236:$E$327,0)</f>
        <v>#N/A</v>
      </c>
      <c r="F67" t="e">
        <f>INDEX('Financial Model'!$D$236:$D$327,'Graph Data'!E67)</f>
        <v>#N/A</v>
      </c>
      <c r="I67" s="3" t="e">
        <f>INDEX('Financial Model'!I$236:I$327,'Graph Data'!$E67)</f>
        <v>#N/A</v>
      </c>
      <c r="J67" s="3" t="e">
        <f>INDEX('Financial Model'!J$236:J$327,'Graph Data'!$E67)</f>
        <v>#N/A</v>
      </c>
      <c r="K67" s="3" t="e">
        <f>INDEX('Financial Model'!K$236:K$327,'Graph Data'!$E67)</f>
        <v>#N/A</v>
      </c>
      <c r="L67" s="3" t="e">
        <f>INDEX('Financial Model'!L$236:L$327,'Graph Data'!$E67)</f>
        <v>#N/A</v>
      </c>
      <c r="M67" s="3" t="e">
        <f>INDEX('Financial Model'!M$236:M$327,'Graph Data'!$E67)</f>
        <v>#N/A</v>
      </c>
      <c r="N67" s="3" t="e">
        <f>INDEX('Financial Model'!N$236:N$327,'Graph Data'!$E67)</f>
        <v>#N/A</v>
      </c>
      <c r="O67" s="3" t="e">
        <f>INDEX('Financial Model'!O$236:O$327,'Graph Data'!$E67)</f>
        <v>#N/A</v>
      </c>
      <c r="P67" s="3" t="e">
        <f>INDEX('Financial Model'!P$236:P$327,'Graph Data'!$E67)</f>
        <v>#N/A</v>
      </c>
      <c r="Q67" s="3" t="e">
        <f>INDEX('Financial Model'!Q$236:Q$327,'Graph Data'!$E67)</f>
        <v>#N/A</v>
      </c>
      <c r="R67" s="3" t="e">
        <f>INDEX('Financial Model'!R$236:R$327,'Graph Data'!$E67)</f>
        <v>#N/A</v>
      </c>
      <c r="S67" s="3" t="e">
        <f>INDEX('Financial Model'!S$236:S$327,'Graph Data'!$E67)</f>
        <v>#N/A</v>
      </c>
      <c r="T67" s="3" t="e">
        <f>INDEX('Financial Model'!T$236:T$327,'Graph Data'!$E67)</f>
        <v>#N/A</v>
      </c>
    </row>
    <row r="68" spans="4:20" x14ac:dyDescent="0.25">
      <c r="D68">
        <f t="shared" si="0"/>
        <v>65</v>
      </c>
      <c r="E68" t="e">
        <f>MATCH(D68,'Financial Model'!$E$236:$E$327,0)</f>
        <v>#N/A</v>
      </c>
      <c r="F68" t="e">
        <f>INDEX('Financial Model'!$D$236:$D$327,'Graph Data'!E68)</f>
        <v>#N/A</v>
      </c>
      <c r="I68" s="3" t="e">
        <f>INDEX('Financial Model'!I$236:I$327,'Graph Data'!$E68)</f>
        <v>#N/A</v>
      </c>
      <c r="J68" s="3" t="e">
        <f>INDEX('Financial Model'!J$236:J$327,'Graph Data'!$E68)</f>
        <v>#N/A</v>
      </c>
      <c r="K68" s="3" t="e">
        <f>INDEX('Financial Model'!K$236:K$327,'Graph Data'!$E68)</f>
        <v>#N/A</v>
      </c>
      <c r="L68" s="3" t="e">
        <f>INDEX('Financial Model'!L$236:L$327,'Graph Data'!$E68)</f>
        <v>#N/A</v>
      </c>
      <c r="M68" s="3" t="e">
        <f>INDEX('Financial Model'!M$236:M$327,'Graph Data'!$E68)</f>
        <v>#N/A</v>
      </c>
      <c r="N68" s="3" t="e">
        <f>INDEX('Financial Model'!N$236:N$327,'Graph Data'!$E68)</f>
        <v>#N/A</v>
      </c>
      <c r="O68" s="3" t="e">
        <f>INDEX('Financial Model'!O$236:O$327,'Graph Data'!$E68)</f>
        <v>#N/A</v>
      </c>
      <c r="P68" s="3" t="e">
        <f>INDEX('Financial Model'!P$236:P$327,'Graph Data'!$E68)</f>
        <v>#N/A</v>
      </c>
      <c r="Q68" s="3" t="e">
        <f>INDEX('Financial Model'!Q$236:Q$327,'Graph Data'!$E68)</f>
        <v>#N/A</v>
      </c>
      <c r="R68" s="3" t="e">
        <f>INDEX('Financial Model'!R$236:R$327,'Graph Data'!$E68)</f>
        <v>#N/A</v>
      </c>
      <c r="S68" s="3" t="e">
        <f>INDEX('Financial Model'!S$236:S$327,'Graph Data'!$E68)</f>
        <v>#N/A</v>
      </c>
      <c r="T68" s="3" t="e">
        <f>INDEX('Financial Model'!T$236:T$327,'Graph Data'!$E68)</f>
        <v>#N/A</v>
      </c>
    </row>
    <row r="71" spans="4:20" x14ac:dyDescent="0.25">
      <c r="I71">
        <v>41</v>
      </c>
    </row>
    <row r="72" spans="4:20" x14ac:dyDescent="0.25">
      <c r="I72" t="b">
        <f>'Financial Model'!I3</f>
        <v>1</v>
      </c>
      <c r="J72" t="b">
        <f>'Financial Model'!J3</f>
        <v>1</v>
      </c>
      <c r="K72" t="b">
        <f>'Financial Model'!K3</f>
        <v>1</v>
      </c>
      <c r="L72" t="b">
        <f>'Financial Model'!L3</f>
        <v>1</v>
      </c>
      <c r="M72" t="b">
        <f>'Financial Model'!M3</f>
        <v>0</v>
      </c>
      <c r="N72" t="b">
        <f>'Financial Model'!N3</f>
        <v>0</v>
      </c>
      <c r="O72" t="b">
        <f>'Financial Model'!O3</f>
        <v>0</v>
      </c>
      <c r="P72" t="b">
        <f>'Financial Model'!P3</f>
        <v>0</v>
      </c>
      <c r="Q72" t="b">
        <f>'Financial Model'!Q3</f>
        <v>0</v>
      </c>
      <c r="R72" t="b">
        <f>'Financial Model'!R3</f>
        <v>0</v>
      </c>
      <c r="S72" t="b">
        <f>'Financial Model'!S3</f>
        <v>0</v>
      </c>
      <c r="T72" t="b">
        <f>'Financial Model'!T3</f>
        <v>0</v>
      </c>
    </row>
    <row r="73" spans="4:20" x14ac:dyDescent="0.25">
      <c r="I73">
        <f>I3</f>
        <v>2011</v>
      </c>
      <c r="J73">
        <f t="shared" ref="J73:T73" si="1">J3</f>
        <v>2012</v>
      </c>
      <c r="K73">
        <f t="shared" si="1"/>
        <v>2013</v>
      </c>
      <c r="L73">
        <f t="shared" si="1"/>
        <v>2014</v>
      </c>
      <c r="M73">
        <f t="shared" si="1"/>
        <v>2015</v>
      </c>
      <c r="N73">
        <f t="shared" si="1"/>
        <v>2016</v>
      </c>
      <c r="O73">
        <f t="shared" si="1"/>
        <v>2017</v>
      </c>
      <c r="P73">
        <f t="shared" si="1"/>
        <v>2018</v>
      </c>
      <c r="Q73">
        <f t="shared" si="1"/>
        <v>2019</v>
      </c>
      <c r="R73">
        <f t="shared" si="1"/>
        <v>2020</v>
      </c>
      <c r="S73">
        <f t="shared" si="1"/>
        <v>2021</v>
      </c>
      <c r="T73">
        <f t="shared" si="1"/>
        <v>2022</v>
      </c>
    </row>
    <row r="74" spans="4:20" x14ac:dyDescent="0.25">
      <c r="F74" t="str">
        <f>INDEX(F4:F68,$I$71)</f>
        <v>Total Payable</v>
      </c>
      <c r="I74">
        <f t="shared" ref="I74:T74" si="2">INDEX(I4:I68,$I$71)</f>
        <v>356787538.84999955</v>
      </c>
      <c r="J74">
        <f t="shared" si="2"/>
        <v>1614438169.9582896</v>
      </c>
      <c r="K74">
        <f t="shared" si="2"/>
        <v>527344669.43099964</v>
      </c>
      <c r="L74">
        <f t="shared" si="2"/>
        <v>721332675.64099979</v>
      </c>
      <c r="M74">
        <f t="shared" si="2"/>
        <v>825621132.9516871</v>
      </c>
      <c r="N74">
        <f t="shared" si="2"/>
        <v>908183246.24685585</v>
      </c>
      <c r="O74">
        <f t="shared" si="2"/>
        <v>999001570.87154162</v>
      </c>
      <c r="P74">
        <f t="shared" si="2"/>
        <v>1098901727.9586959</v>
      </c>
      <c r="Q74">
        <f t="shared" si="2"/>
        <v>1208791900.7545655</v>
      </c>
      <c r="R74">
        <f t="shared" si="2"/>
        <v>1329671090.8300221</v>
      </c>
      <c r="S74">
        <f t="shared" si="2"/>
        <v>1462638199.9130244</v>
      </c>
      <c r="T74">
        <f t="shared" si="2"/>
        <v>1608902019.9043269</v>
      </c>
    </row>
    <row r="76" spans="4:20" x14ac:dyDescent="0.25">
      <c r="I76">
        <f>I73</f>
        <v>2011</v>
      </c>
      <c r="J76">
        <f t="shared" ref="J76:T76" si="3">J73</f>
        <v>2012</v>
      </c>
      <c r="K76">
        <f t="shared" si="3"/>
        <v>2013</v>
      </c>
      <c r="L76">
        <f t="shared" si="3"/>
        <v>2014</v>
      </c>
      <c r="M76">
        <f t="shared" si="3"/>
        <v>2015</v>
      </c>
      <c r="N76">
        <f t="shared" si="3"/>
        <v>2016</v>
      </c>
      <c r="O76">
        <f t="shared" si="3"/>
        <v>2017</v>
      </c>
      <c r="P76">
        <f t="shared" si="3"/>
        <v>2018</v>
      </c>
      <c r="Q76">
        <f t="shared" si="3"/>
        <v>2019</v>
      </c>
      <c r="R76">
        <f t="shared" si="3"/>
        <v>2020</v>
      </c>
      <c r="S76">
        <f t="shared" si="3"/>
        <v>2021</v>
      </c>
      <c r="T76">
        <f t="shared" si="3"/>
        <v>2022</v>
      </c>
    </row>
    <row r="77" spans="4:20" x14ac:dyDescent="0.25">
      <c r="F77" s="1" t="s">
        <v>276</v>
      </c>
      <c r="I77">
        <f>IF(I72,I74)</f>
        <v>356787538.84999955</v>
      </c>
      <c r="J77">
        <f t="shared" ref="J77:T77" si="4">IF(J72,J74)</f>
        <v>1614438169.9582896</v>
      </c>
      <c r="K77">
        <f t="shared" si="4"/>
        <v>527344669.43099964</v>
      </c>
      <c r="L77">
        <f t="shared" si="4"/>
        <v>721332675.64099979</v>
      </c>
      <c r="M77" t="b">
        <f t="shared" si="4"/>
        <v>0</v>
      </c>
      <c r="N77" t="b">
        <f t="shared" si="4"/>
        <v>0</v>
      </c>
      <c r="O77" t="b">
        <f t="shared" si="4"/>
        <v>0</v>
      </c>
      <c r="P77" t="b">
        <f t="shared" si="4"/>
        <v>0</v>
      </c>
      <c r="Q77" t="b">
        <f t="shared" si="4"/>
        <v>0</v>
      </c>
      <c r="R77" t="b">
        <f t="shared" si="4"/>
        <v>0</v>
      </c>
      <c r="S77" t="b">
        <f t="shared" si="4"/>
        <v>0</v>
      </c>
      <c r="T77" t="b">
        <f t="shared" si="4"/>
        <v>0</v>
      </c>
    </row>
    <row r="78" spans="4:20" x14ac:dyDescent="0.25">
      <c r="F78" s="1" t="s">
        <v>277</v>
      </c>
      <c r="I78" t="b">
        <f>IF(NOT(I72),I74)</f>
        <v>0</v>
      </c>
      <c r="J78" t="b">
        <f t="shared" ref="J78:T78" si="5">IF(NOT(J72),J74)</f>
        <v>0</v>
      </c>
      <c r="K78" t="b">
        <f t="shared" si="5"/>
        <v>0</v>
      </c>
      <c r="L78" t="b">
        <f t="shared" si="5"/>
        <v>0</v>
      </c>
      <c r="M78">
        <f t="shared" si="5"/>
        <v>825621132.9516871</v>
      </c>
      <c r="N78">
        <f t="shared" si="5"/>
        <v>908183246.24685585</v>
      </c>
      <c r="O78">
        <f t="shared" si="5"/>
        <v>999001570.87154162</v>
      </c>
      <c r="P78">
        <f t="shared" si="5"/>
        <v>1098901727.9586959</v>
      </c>
      <c r="Q78">
        <f t="shared" si="5"/>
        <v>1208791900.7545655</v>
      </c>
      <c r="R78">
        <f t="shared" si="5"/>
        <v>1329671090.8300221</v>
      </c>
      <c r="S78">
        <f t="shared" si="5"/>
        <v>1462638199.9130244</v>
      </c>
      <c r="T78">
        <f t="shared" si="5"/>
        <v>1608902019.9043269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3" name="Drop Down 1">
              <controlPr defaultSize="0" autoLine="0" autoPict="0">
                <anchor moveWithCells="1">
                  <from>
                    <xdr:col>3</xdr:col>
                    <xdr:colOff>577850</xdr:colOff>
                    <xdr:row>68</xdr:row>
                    <xdr:rowOff>69850</xdr:rowOff>
                  </from>
                  <to>
                    <xdr:col>6</xdr:col>
                    <xdr:colOff>368300</xdr:colOff>
                    <xdr:row>69</xdr:row>
                    <xdr:rowOff>120650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4" name="Spinner 2">
              <controlPr defaultSize="0" autoPict="0">
                <anchor moveWithCells="1" sizeWithCells="1">
                  <from>
                    <xdr:col>9</xdr:col>
                    <xdr:colOff>139700</xdr:colOff>
                    <xdr:row>69</xdr:row>
                    <xdr:rowOff>133350</xdr:rowOff>
                  </from>
                  <to>
                    <xdr:col>9</xdr:col>
                    <xdr:colOff>342900</xdr:colOff>
                    <xdr:row>70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Financial Model</vt:lpstr>
      <vt:lpstr>Structuring Assumptions</vt:lpstr>
      <vt:lpstr>Acquisition Model</vt:lpstr>
      <vt:lpstr>Graph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2015-04-21T05:24:55Z</cp:lastPrinted>
  <dcterms:created xsi:type="dcterms:W3CDTF">2015-04-20T08:15:35Z</dcterms:created>
  <dcterms:modified xsi:type="dcterms:W3CDTF">2015-05-03T05:14:27Z</dcterms:modified>
</cp:coreProperties>
</file>